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uget an 2024 prevederi\bistrita\Documente de lucru BVC 2024\29 ian 2024\Documente BVC FINALE 2024\"/>
    </mc:Choice>
  </mc:AlternateContent>
  <xr:revisionPtr revIDLastSave="0" documentId="13_ncr:1_{82077C5D-5639-43F7-98DD-817872C5C8C4}" xr6:coauthVersionLast="47" xr6:coauthVersionMax="47" xr10:uidLastSave="{00000000-0000-0000-0000-000000000000}"/>
  <bookViews>
    <workbookView xWindow="-120" yWindow="-120" windowWidth="25440" windowHeight="15390" tabRatio="271" xr2:uid="{00000000-000D-0000-FFFF-FFFF00000000}"/>
  </bookViews>
  <sheets>
    <sheet name=" Bis.1" sheetId="1" r:id="rId1"/>
    <sheet name="Bis.2" sheetId="2" r:id="rId2"/>
    <sheet name="Bis.3" sheetId="3" r:id="rId3"/>
    <sheet name="Bis.4" sheetId="4" r:id="rId4"/>
    <sheet name="Bis.5" sheetId="5" r:id="rId5"/>
  </sheets>
  <externalReferences>
    <externalReference r:id="rId6"/>
  </externalReferences>
  <definedNames>
    <definedName name="A">' Bis.1'!#REF!</definedName>
    <definedName name="_xlnm.Print_Area" localSheetId="0">' Bis.1'!$A$1:$M$73</definedName>
    <definedName name="_xlnm.Print_Area" localSheetId="1">Bis.2!$A$1:$P$191</definedName>
    <definedName name="_xlnm.Print_Area" localSheetId="2">Bis.3!$A$1:$K$21</definedName>
    <definedName name="_xlnm.Print_Area" localSheetId="3">Bis.4!$A$1:$I$81</definedName>
    <definedName name="_xlnm.Print_Area" localSheetId="4">Bis.5!$A$1:$K$27</definedName>
    <definedName name="_xlnm.Print_Titles" localSheetId="0">' Bis.1'!$8:$10</definedName>
    <definedName name="_xlnm.Print_Titles" localSheetId="1">Bis.2!$9:$12</definedName>
    <definedName name="_xlnm.Print_Titles" localSheetId="3">Bis.4!$8:$12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14" i="1"/>
  <c r="M15" i="1"/>
  <c r="M17" i="1"/>
  <c r="M18" i="1"/>
  <c r="M19" i="1"/>
  <c r="M20" i="1"/>
  <c r="M22" i="1"/>
  <c r="M23" i="1"/>
  <c r="M25" i="1"/>
  <c r="M26" i="1"/>
  <c r="M27" i="1"/>
  <c r="M28" i="1"/>
  <c r="M29" i="1"/>
  <c r="M32" i="1"/>
  <c r="M33" i="1"/>
  <c r="M34" i="1"/>
  <c r="M35" i="1"/>
  <c r="M41" i="1"/>
  <c r="M45" i="1"/>
  <c r="M46" i="1"/>
  <c r="M47" i="1"/>
  <c r="M49" i="1"/>
  <c r="M50" i="1"/>
  <c r="M51" i="1"/>
  <c r="M52" i="1"/>
  <c r="M53" i="1"/>
  <c r="M54" i="1"/>
  <c r="M55" i="1"/>
  <c r="M61" i="1"/>
  <c r="M62" i="1"/>
  <c r="M66" i="1"/>
  <c r="M67" i="1"/>
  <c r="M69" i="1"/>
  <c r="M70" i="1"/>
  <c r="G53" i="4"/>
  <c r="G51" i="4"/>
  <c r="F74" i="4"/>
  <c r="F60" i="4"/>
  <c r="F59" i="4"/>
  <c r="F50" i="4"/>
  <c r="F39" i="4"/>
  <c r="F38" i="4" s="1"/>
  <c r="F27" i="4"/>
  <c r="F26" i="4" s="1"/>
  <c r="F25" i="4" s="1"/>
  <c r="F14" i="4"/>
  <c r="F13" i="4"/>
  <c r="E76" i="4"/>
  <c r="E74" i="4" s="1"/>
  <c r="E69" i="4"/>
  <c r="E66" i="4"/>
  <c r="E60" i="4"/>
  <c r="E59" i="4" s="1"/>
  <c r="E50" i="4"/>
  <c r="E39" i="4"/>
  <c r="E38" i="4" s="1"/>
  <c r="E35" i="4"/>
  <c r="E32" i="4"/>
  <c r="E26" i="4" s="1"/>
  <c r="E14" i="4"/>
  <c r="E13" i="4" s="1"/>
  <c r="J131" i="2"/>
  <c r="E25" i="4" l="1"/>
  <c r="J153" i="2"/>
  <c r="N131" i="2"/>
  <c r="D12" i="3"/>
  <c r="C12" i="3"/>
  <c r="J142" i="2" l="1"/>
  <c r="J138" i="2"/>
  <c r="J133" i="2"/>
  <c r="J132" i="2"/>
  <c r="J126" i="2"/>
  <c r="J124" i="2"/>
  <c r="J119" i="2"/>
  <c r="J116" i="2"/>
  <c r="J115" i="2" s="1"/>
  <c r="J111" i="2"/>
  <c r="J103" i="2"/>
  <c r="J100" i="2"/>
  <c r="J99" i="2" s="1"/>
  <c r="J96" i="2"/>
  <c r="J95" i="2"/>
  <c r="J89" i="2"/>
  <c r="J80" i="2"/>
  <c r="J79" i="2"/>
  <c r="J78" i="2"/>
  <c r="J75" i="2"/>
  <c r="J74" i="2"/>
  <c r="J68" i="2"/>
  <c r="J61" i="2"/>
  <c r="J59" i="2"/>
  <c r="J56" i="2"/>
  <c r="J53" i="2"/>
  <c r="J52" i="2"/>
  <c r="J51" i="2" s="1"/>
  <c r="J49" i="2"/>
  <c r="J48" i="2"/>
  <c r="J47" i="2"/>
  <c r="J46" i="2"/>
  <c r="J45" i="2"/>
  <c r="J34" i="2"/>
  <c r="J33" i="2"/>
  <c r="J28" i="2"/>
  <c r="J27" i="2"/>
  <c r="J21" i="2"/>
  <c r="J19" i="2"/>
  <c r="J15" i="2" s="1"/>
  <c r="J17" i="2"/>
  <c r="J16" i="2"/>
  <c r="I142" i="2"/>
  <c r="I138" i="2"/>
  <c r="I133" i="2"/>
  <c r="I132" i="2"/>
  <c r="I131" i="2"/>
  <c r="I126" i="2"/>
  <c r="I119" i="2"/>
  <c r="I116" i="2"/>
  <c r="I115" i="2" s="1"/>
  <c r="I111" i="2"/>
  <c r="I103" i="2"/>
  <c r="I99" i="2"/>
  <c r="I98" i="2" s="1"/>
  <c r="I90" i="2"/>
  <c r="I80" i="2"/>
  <c r="I75" i="2"/>
  <c r="I74" i="2" s="1"/>
  <c r="I68" i="2"/>
  <c r="I61" i="2"/>
  <c r="I59" i="2"/>
  <c r="I53" i="2"/>
  <c r="I51" i="2" s="1"/>
  <c r="I43" i="2"/>
  <c r="I34" i="2"/>
  <c r="I28" i="2"/>
  <c r="I26" i="2" s="1"/>
  <c r="I15" i="2"/>
  <c r="G153" i="2"/>
  <c r="G142" i="2"/>
  <c r="G138" i="2"/>
  <c r="G133" i="2"/>
  <c r="G132" i="2"/>
  <c r="G131" i="2"/>
  <c r="G126" i="2"/>
  <c r="G124" i="2"/>
  <c r="G119" i="2"/>
  <c r="G116" i="2"/>
  <c r="G111" i="2"/>
  <c r="G103" i="2"/>
  <c r="G101" i="2"/>
  <c r="G100" i="2"/>
  <c r="G96" i="2"/>
  <c r="G95" i="2"/>
  <c r="G90" i="2" s="1"/>
  <c r="G89" i="2"/>
  <c r="G80" i="2"/>
  <c r="G79" i="2"/>
  <c r="G78" i="2"/>
  <c r="G75" i="2"/>
  <c r="G74" i="2" s="1"/>
  <c r="G68" i="2"/>
  <c r="G61" i="2"/>
  <c r="G59" i="2"/>
  <c r="G56" i="2"/>
  <c r="G53" i="2"/>
  <c r="G52" i="2"/>
  <c r="G49" i="2"/>
  <c r="G48" i="2"/>
  <c r="G47" i="2"/>
  <c r="G46" i="2"/>
  <c r="G45" i="2"/>
  <c r="G43" i="2" s="1"/>
  <c r="G34" i="2"/>
  <c r="G33" i="2"/>
  <c r="G26" i="2" s="1"/>
  <c r="G28" i="2"/>
  <c r="G27" i="2"/>
  <c r="G21" i="2"/>
  <c r="G19" i="2"/>
  <c r="G17" i="2"/>
  <c r="G16" i="2"/>
  <c r="J57" i="2" l="1"/>
  <c r="I125" i="2"/>
  <c r="J43" i="2"/>
  <c r="J42" i="2" s="1"/>
  <c r="J41" i="2" s="1"/>
  <c r="J90" i="2"/>
  <c r="J26" i="2"/>
  <c r="G15" i="2"/>
  <c r="G14" i="2" s="1"/>
  <c r="G155" i="2" s="1"/>
  <c r="G51" i="2"/>
  <c r="J125" i="2"/>
  <c r="G57" i="2"/>
  <c r="G115" i="2"/>
  <c r="I57" i="2"/>
  <c r="I42" i="2" s="1"/>
  <c r="G99" i="2"/>
  <c r="G98" i="2" s="1"/>
  <c r="G160" i="2" s="1"/>
  <c r="G125" i="2"/>
  <c r="J14" i="2"/>
  <c r="J169" i="2" s="1"/>
  <c r="J155" i="2"/>
  <c r="J97" i="2"/>
  <c r="J98" i="2"/>
  <c r="J160" i="2" s="1"/>
  <c r="I14" i="2"/>
  <c r="I97" i="2"/>
  <c r="I160" i="2"/>
  <c r="G42" i="2"/>
  <c r="I41" i="2" l="1"/>
  <c r="G97" i="2"/>
  <c r="J13" i="2"/>
  <c r="G169" i="2"/>
  <c r="G13" i="2"/>
  <c r="G41" i="2"/>
  <c r="G158" i="2" s="1"/>
  <c r="J158" i="2"/>
  <c r="J40" i="2"/>
  <c r="J150" i="2" s="1"/>
  <c r="J167" i="2"/>
  <c r="J166" i="2"/>
  <c r="I155" i="2"/>
  <c r="I13" i="2"/>
  <c r="I169" i="2"/>
  <c r="I167" i="2"/>
  <c r="I166" i="2"/>
  <c r="I158" i="2"/>
  <c r="I40" i="2"/>
  <c r="G167" i="2"/>
  <c r="G166" i="2"/>
  <c r="G29" i="1"/>
  <c r="O101" i="2"/>
  <c r="G50" i="4"/>
  <c r="I76" i="4"/>
  <c r="I74" i="4" s="1"/>
  <c r="I72" i="4" s="1"/>
  <c r="H76" i="4"/>
  <c r="H74" i="4" s="1"/>
  <c r="H72" i="4" s="1"/>
  <c r="G76" i="4"/>
  <c r="G74" i="4" s="1"/>
  <c r="I69" i="4"/>
  <c r="H69" i="4"/>
  <c r="G69" i="4"/>
  <c r="I66" i="4"/>
  <c r="H66" i="4"/>
  <c r="G66" i="4"/>
  <c r="I63" i="4"/>
  <c r="H63" i="4"/>
  <c r="G60" i="4"/>
  <c r="G59" i="4" s="1"/>
  <c r="I59" i="4"/>
  <c r="H59" i="4"/>
  <c r="I55" i="4"/>
  <c r="H55" i="4"/>
  <c r="I50" i="4"/>
  <c r="H50" i="4"/>
  <c r="I39" i="4"/>
  <c r="H39" i="4"/>
  <c r="G39" i="4"/>
  <c r="I38" i="4"/>
  <c r="H38" i="4"/>
  <c r="I35" i="4"/>
  <c r="H35" i="4"/>
  <c r="G35" i="4"/>
  <c r="I32" i="4"/>
  <c r="H32" i="4"/>
  <c r="G32" i="4"/>
  <c r="I27" i="4"/>
  <c r="H27" i="4"/>
  <c r="D26" i="4"/>
  <c r="D25" i="4" s="1"/>
  <c r="I22" i="4"/>
  <c r="H22" i="4"/>
  <c r="I19" i="4"/>
  <c r="H19" i="4"/>
  <c r="I14" i="4"/>
  <c r="I13" i="4" s="1"/>
  <c r="H14" i="4"/>
  <c r="H13" i="4" s="1"/>
  <c r="G14" i="4"/>
  <c r="G13" i="4" s="1"/>
  <c r="H13" i="3"/>
  <c r="E13" i="3"/>
  <c r="G12" i="3"/>
  <c r="F12" i="3"/>
  <c r="E12" i="3"/>
  <c r="P182" i="2"/>
  <c r="O182" i="2"/>
  <c r="P181" i="2"/>
  <c r="O181" i="2"/>
  <c r="P180" i="2"/>
  <c r="O180" i="2"/>
  <c r="P179" i="2"/>
  <c r="O179" i="2"/>
  <c r="P178" i="2"/>
  <c r="O178" i="2"/>
  <c r="P177" i="2"/>
  <c r="O177" i="2"/>
  <c r="P176" i="2"/>
  <c r="O176" i="2"/>
  <c r="P175" i="2"/>
  <c r="O175" i="2"/>
  <c r="P174" i="2"/>
  <c r="O174" i="2"/>
  <c r="P173" i="2"/>
  <c r="O173" i="2"/>
  <c r="P172" i="2"/>
  <c r="O172" i="2"/>
  <c r="P171" i="2"/>
  <c r="O171" i="2"/>
  <c r="P170" i="2"/>
  <c r="O170" i="2"/>
  <c r="P168" i="2"/>
  <c r="O168" i="2"/>
  <c r="P165" i="2"/>
  <c r="O165" i="2"/>
  <c r="P164" i="2"/>
  <c r="O164" i="2"/>
  <c r="P163" i="2"/>
  <c r="O163" i="2"/>
  <c r="P162" i="2"/>
  <c r="O162" i="2"/>
  <c r="P161" i="2"/>
  <c r="O161" i="2"/>
  <c r="P159" i="2"/>
  <c r="O159" i="2"/>
  <c r="P157" i="2"/>
  <c r="O157" i="2"/>
  <c r="P156" i="2"/>
  <c r="O156" i="2"/>
  <c r="F155" i="2"/>
  <c r="F156" i="2" s="1"/>
  <c r="F157" i="2" s="1"/>
  <c r="F158" i="2" s="1"/>
  <c r="F159" i="2" s="1"/>
  <c r="F160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O154" i="2"/>
  <c r="P153" i="2"/>
  <c r="P152" i="2"/>
  <c r="O152" i="2"/>
  <c r="P151" i="2"/>
  <c r="O151" i="2"/>
  <c r="P149" i="2"/>
  <c r="O149" i="2"/>
  <c r="K149" i="2"/>
  <c r="K142" i="2" s="1"/>
  <c r="P148" i="2"/>
  <c r="O148" i="2"/>
  <c r="P147" i="2"/>
  <c r="O147" i="2"/>
  <c r="P145" i="2"/>
  <c r="O145" i="2"/>
  <c r="P144" i="2"/>
  <c r="O144" i="2"/>
  <c r="P143" i="2"/>
  <c r="O143" i="2"/>
  <c r="N142" i="2"/>
  <c r="M142" i="2"/>
  <c r="P141" i="2"/>
  <c r="O141" i="2"/>
  <c r="P140" i="2"/>
  <c r="O140" i="2"/>
  <c r="P139" i="2"/>
  <c r="O139" i="2"/>
  <c r="P138" i="2"/>
  <c r="N138" i="2"/>
  <c r="O138" i="2" s="1"/>
  <c r="M138" i="2"/>
  <c r="L138" i="2"/>
  <c r="K138" i="2"/>
  <c r="P137" i="2"/>
  <c r="O137" i="2"/>
  <c r="P136" i="2"/>
  <c r="O136" i="2"/>
  <c r="P135" i="2"/>
  <c r="O135" i="2"/>
  <c r="P134" i="2"/>
  <c r="O134" i="2"/>
  <c r="N133" i="2"/>
  <c r="M133" i="2"/>
  <c r="L133" i="2"/>
  <c r="K133" i="2"/>
  <c r="G28" i="1"/>
  <c r="P133" i="2"/>
  <c r="P132" i="2"/>
  <c r="O132" i="2"/>
  <c r="K132" i="2"/>
  <c r="L132" i="2" s="1"/>
  <c r="M132" i="2" s="1"/>
  <c r="P131" i="2"/>
  <c r="O131" i="2"/>
  <c r="P130" i="2"/>
  <c r="O130" i="2"/>
  <c r="P129" i="2"/>
  <c r="O129" i="2"/>
  <c r="P128" i="2"/>
  <c r="O128" i="2"/>
  <c r="P127" i="2"/>
  <c r="O127" i="2"/>
  <c r="N126" i="2"/>
  <c r="O126" i="2" s="1"/>
  <c r="M126" i="2"/>
  <c r="L126" i="2"/>
  <c r="K126" i="2"/>
  <c r="P126" i="2"/>
  <c r="P124" i="2"/>
  <c r="O124" i="2"/>
  <c r="P123" i="2"/>
  <c r="O123" i="2"/>
  <c r="P122" i="2"/>
  <c r="O122" i="2"/>
  <c r="P121" i="2"/>
  <c r="O121" i="2"/>
  <c r="P120" i="2"/>
  <c r="O120" i="2"/>
  <c r="K120" i="2"/>
  <c r="K119" i="2" s="1"/>
  <c r="N119" i="2"/>
  <c r="P118" i="2"/>
  <c r="O118" i="2"/>
  <c r="M118" i="2"/>
  <c r="P117" i="2"/>
  <c r="O117" i="2"/>
  <c r="K117" i="2"/>
  <c r="L117" i="2" s="1"/>
  <c r="M117" i="2" s="1"/>
  <c r="N116" i="2"/>
  <c r="P114" i="2"/>
  <c r="O114" i="2"/>
  <c r="P113" i="2"/>
  <c r="O113" i="2"/>
  <c r="P112" i="2"/>
  <c r="O112" i="2"/>
  <c r="N111" i="2"/>
  <c r="O111" i="2" s="1"/>
  <c r="M111" i="2"/>
  <c r="L111" i="2"/>
  <c r="K111" i="2"/>
  <c r="G24" i="1"/>
  <c r="P111" i="2"/>
  <c r="P110" i="2"/>
  <c r="O110" i="2"/>
  <c r="P109" i="2"/>
  <c r="O109" i="2"/>
  <c r="P108" i="2"/>
  <c r="O108" i="2"/>
  <c r="P107" i="2"/>
  <c r="K107" i="2"/>
  <c r="K103" i="2" s="1"/>
  <c r="P106" i="2"/>
  <c r="O106" i="2"/>
  <c r="P105" i="2"/>
  <c r="O105" i="2"/>
  <c r="P104" i="2"/>
  <c r="O104" i="2"/>
  <c r="G23" i="1"/>
  <c r="P102" i="2"/>
  <c r="O102" i="2"/>
  <c r="P101" i="2"/>
  <c r="P100" i="2"/>
  <c r="O100" i="2"/>
  <c r="K100" i="2"/>
  <c r="G22" i="1"/>
  <c r="P96" i="2"/>
  <c r="O96" i="2"/>
  <c r="K96" i="2"/>
  <c r="L96" i="2" s="1"/>
  <c r="M96" i="2" s="1"/>
  <c r="P95" i="2"/>
  <c r="O95" i="2"/>
  <c r="K95" i="2"/>
  <c r="L95" i="2" s="1"/>
  <c r="M95" i="2" s="1"/>
  <c r="P94" i="2"/>
  <c r="O94" i="2"/>
  <c r="P93" i="2"/>
  <c r="O93" i="2"/>
  <c r="P92" i="2"/>
  <c r="O92" i="2"/>
  <c r="P91" i="2"/>
  <c r="O91" i="2"/>
  <c r="K91" i="2"/>
  <c r="L91" i="2" s="1"/>
  <c r="M91" i="2" s="1"/>
  <c r="N90" i="2"/>
  <c r="G19" i="1"/>
  <c r="P89" i="2"/>
  <c r="O89" i="2"/>
  <c r="K89" i="2"/>
  <c r="L89" i="2" s="1"/>
  <c r="M89" i="2" s="1"/>
  <c r="P88" i="2"/>
  <c r="O88" i="2"/>
  <c r="K88" i="2"/>
  <c r="L88" i="2" s="1"/>
  <c r="M88" i="2" s="1"/>
  <c r="P87" i="2"/>
  <c r="O87" i="2"/>
  <c r="P86" i="2"/>
  <c r="O86" i="2"/>
  <c r="P85" i="2"/>
  <c r="O85" i="2"/>
  <c r="P84" i="2"/>
  <c r="O84" i="2"/>
  <c r="K84" i="2"/>
  <c r="L84" i="2" s="1"/>
  <c r="M84" i="2" s="1"/>
  <c r="P83" i="2"/>
  <c r="O83" i="2"/>
  <c r="K83" i="2"/>
  <c r="L83" i="2" s="1"/>
  <c r="M83" i="2" s="1"/>
  <c r="P82" i="2"/>
  <c r="O82" i="2"/>
  <c r="K82" i="2"/>
  <c r="P81" i="2"/>
  <c r="O81" i="2"/>
  <c r="K81" i="2"/>
  <c r="L81" i="2" s="1"/>
  <c r="P80" i="2"/>
  <c r="N80" i="2"/>
  <c r="O80" i="2" s="1"/>
  <c r="P79" i="2"/>
  <c r="O79" i="2"/>
  <c r="K79" i="2"/>
  <c r="L79" i="2" s="1"/>
  <c r="M79" i="2" s="1"/>
  <c r="P78" i="2"/>
  <c r="O78" i="2"/>
  <c r="K78" i="2"/>
  <c r="L78" i="2" s="1"/>
  <c r="M78" i="2" s="1"/>
  <c r="P77" i="2"/>
  <c r="O77" i="2"/>
  <c r="P76" i="2"/>
  <c r="O76" i="2"/>
  <c r="K76" i="2"/>
  <c r="L76" i="2" s="1"/>
  <c r="P75" i="2"/>
  <c r="N75" i="2"/>
  <c r="N74" i="2" s="1"/>
  <c r="P74" i="2"/>
  <c r="P73" i="2"/>
  <c r="O73" i="2"/>
  <c r="P72" i="2"/>
  <c r="O72" i="2"/>
  <c r="P71" i="2"/>
  <c r="O71" i="2"/>
  <c r="P70" i="2"/>
  <c r="O70" i="2"/>
  <c r="P69" i="2"/>
  <c r="O69" i="2"/>
  <c r="N68" i="2"/>
  <c r="O68" i="2" s="1"/>
  <c r="M68" i="2"/>
  <c r="L68" i="2"/>
  <c r="K68" i="2"/>
  <c r="P68" i="2"/>
  <c r="P67" i="2"/>
  <c r="O67" i="2"/>
  <c r="P66" i="2"/>
  <c r="O66" i="2"/>
  <c r="P65" i="2"/>
  <c r="O65" i="2"/>
  <c r="P64" i="2"/>
  <c r="O64" i="2"/>
  <c r="P63" i="2"/>
  <c r="O63" i="2"/>
  <c r="P62" i="2"/>
  <c r="O62" i="2"/>
  <c r="K62" i="2"/>
  <c r="K61" i="2" s="1"/>
  <c r="N61" i="2"/>
  <c r="P60" i="2"/>
  <c r="O60" i="2"/>
  <c r="K60" i="2"/>
  <c r="L60" i="2" s="1"/>
  <c r="P59" i="2"/>
  <c r="N59" i="2"/>
  <c r="P58" i="2"/>
  <c r="O58" i="2"/>
  <c r="P56" i="2"/>
  <c r="O56" i="2"/>
  <c r="K56" i="2"/>
  <c r="L56" i="2" s="1"/>
  <c r="M56" i="2" s="1"/>
  <c r="P55" i="2"/>
  <c r="O55" i="2"/>
  <c r="P54" i="2"/>
  <c r="O54" i="2"/>
  <c r="N53" i="2"/>
  <c r="O53" i="2" s="1"/>
  <c r="M53" i="2"/>
  <c r="L53" i="2"/>
  <c r="K53" i="2"/>
  <c r="P52" i="2"/>
  <c r="O52" i="2"/>
  <c r="K52" i="2"/>
  <c r="L52" i="2" s="1"/>
  <c r="P50" i="2"/>
  <c r="O50" i="2"/>
  <c r="P49" i="2"/>
  <c r="O49" i="2"/>
  <c r="K49" i="2"/>
  <c r="L49" i="2" s="1"/>
  <c r="M49" i="2" s="1"/>
  <c r="P48" i="2"/>
  <c r="K48" i="2"/>
  <c r="L48" i="2" s="1"/>
  <c r="M48" i="2" s="1"/>
  <c r="P47" i="2"/>
  <c r="O47" i="2"/>
  <c r="K47" i="2"/>
  <c r="L47" i="2" s="1"/>
  <c r="M47" i="2" s="1"/>
  <c r="P46" i="2"/>
  <c r="O46" i="2"/>
  <c r="K46" i="2"/>
  <c r="L46" i="2" s="1"/>
  <c r="M46" i="2" s="1"/>
  <c r="P45" i="2"/>
  <c r="O45" i="2"/>
  <c r="K45" i="2"/>
  <c r="L45" i="2" s="1"/>
  <c r="M45" i="2" s="1"/>
  <c r="P44" i="2"/>
  <c r="O44" i="2"/>
  <c r="P39" i="2"/>
  <c r="O39" i="2"/>
  <c r="P38" i="2"/>
  <c r="O38" i="2"/>
  <c r="K38" i="2"/>
  <c r="K34" i="2" s="1"/>
  <c r="P37" i="2"/>
  <c r="O37" i="2"/>
  <c r="P36" i="2"/>
  <c r="O36" i="2"/>
  <c r="P35" i="2"/>
  <c r="O35" i="2"/>
  <c r="N34" i="2"/>
  <c r="P33" i="2"/>
  <c r="O33" i="2"/>
  <c r="K33" i="2"/>
  <c r="L33" i="2" s="1"/>
  <c r="M33" i="2" s="1"/>
  <c r="P32" i="2"/>
  <c r="O32" i="2"/>
  <c r="P31" i="2"/>
  <c r="O31" i="2"/>
  <c r="P30" i="2"/>
  <c r="O30" i="2"/>
  <c r="P29" i="2"/>
  <c r="O29" i="2"/>
  <c r="N28" i="2"/>
  <c r="N26" i="2" s="1"/>
  <c r="P28" i="2"/>
  <c r="P27" i="2"/>
  <c r="O27" i="2"/>
  <c r="K27" i="2"/>
  <c r="P25" i="2"/>
  <c r="O25" i="2"/>
  <c r="K25" i="2"/>
  <c r="L25" i="2" s="1"/>
  <c r="M25" i="2" s="1"/>
  <c r="P24" i="2"/>
  <c r="O24" i="2"/>
  <c r="K24" i="2"/>
  <c r="L24" i="2" s="1"/>
  <c r="M24" i="2" s="1"/>
  <c r="P23" i="2"/>
  <c r="O23" i="2"/>
  <c r="K23" i="2"/>
  <c r="L23" i="2" s="1"/>
  <c r="P22" i="2"/>
  <c r="O22" i="2"/>
  <c r="K22" i="2"/>
  <c r="L22" i="2" s="1"/>
  <c r="M22" i="2" s="1"/>
  <c r="O21" i="2"/>
  <c r="P21" i="2"/>
  <c r="P20" i="2"/>
  <c r="O20" i="2"/>
  <c r="P19" i="2"/>
  <c r="O19" i="2"/>
  <c r="K19" i="2"/>
  <c r="L19" i="2" s="1"/>
  <c r="M19" i="2" s="1"/>
  <c r="P18" i="2"/>
  <c r="O18" i="2"/>
  <c r="K18" i="2"/>
  <c r="L18" i="2" s="1"/>
  <c r="M18" i="2" s="1"/>
  <c r="P17" i="2"/>
  <c r="O17" i="2"/>
  <c r="K17" i="2"/>
  <c r="L17" i="2" s="1"/>
  <c r="M17" i="2" s="1"/>
  <c r="P16" i="2"/>
  <c r="N15" i="2"/>
  <c r="L70" i="1"/>
  <c r="I70" i="1"/>
  <c r="L69" i="1"/>
  <c r="I69" i="1"/>
  <c r="L67" i="1"/>
  <c r="I67" i="1"/>
  <c r="L66" i="1"/>
  <c r="I66" i="1"/>
  <c r="K65" i="1"/>
  <c r="J65" i="1"/>
  <c r="M65" i="1" s="1"/>
  <c r="K64" i="1"/>
  <c r="L62" i="1"/>
  <c r="I62" i="1"/>
  <c r="L61" i="1"/>
  <c r="I61" i="1"/>
  <c r="L60" i="1"/>
  <c r="K60" i="1"/>
  <c r="J60" i="1"/>
  <c r="M60" i="1" s="1"/>
  <c r="L59" i="1"/>
  <c r="K59" i="1"/>
  <c r="J59" i="1"/>
  <c r="M59" i="1" s="1"/>
  <c r="I59" i="1"/>
  <c r="L58" i="1"/>
  <c r="K58" i="1"/>
  <c r="K63" i="1" s="1"/>
  <c r="J58" i="1"/>
  <c r="I58" i="1"/>
  <c r="K57" i="1"/>
  <c r="J57" i="1"/>
  <c r="M57" i="1" s="1"/>
  <c r="I57" i="1"/>
  <c r="K56" i="1"/>
  <c r="J56" i="1"/>
  <c r="M56" i="1" s="1"/>
  <c r="I56" i="1"/>
  <c r="G55" i="1"/>
  <c r="I60" i="1" s="1"/>
  <c r="L47" i="1"/>
  <c r="I47" i="1"/>
  <c r="I52" i="1" s="1"/>
  <c r="L46" i="1"/>
  <c r="I46" i="1"/>
  <c r="L45" i="1"/>
  <c r="G45" i="1"/>
  <c r="I45" i="1" s="1"/>
  <c r="L43" i="1"/>
  <c r="I43" i="1"/>
  <c r="L41" i="1"/>
  <c r="I41" i="1"/>
  <c r="L40" i="1"/>
  <c r="K40" i="1"/>
  <c r="K45" i="1" s="1"/>
  <c r="J40" i="1"/>
  <c r="M40" i="1" s="1"/>
  <c r="I40" i="1"/>
  <c r="L39" i="1"/>
  <c r="K39" i="1"/>
  <c r="J39" i="1"/>
  <c r="M39" i="1" s="1"/>
  <c r="I39" i="1"/>
  <c r="L38" i="1"/>
  <c r="K38" i="1"/>
  <c r="K43" i="1" s="1"/>
  <c r="J38" i="1"/>
  <c r="M38" i="1" s="1"/>
  <c r="I38" i="1"/>
  <c r="L35" i="1"/>
  <c r="I35" i="1"/>
  <c r="L34" i="1"/>
  <c r="I34" i="1"/>
  <c r="L33" i="1"/>
  <c r="I33" i="1"/>
  <c r="L32" i="1"/>
  <c r="I32" i="1"/>
  <c r="G31" i="1"/>
  <c r="H29" i="1"/>
  <c r="L29" i="1" s="1"/>
  <c r="H27" i="1"/>
  <c r="L27" i="1" s="1"/>
  <c r="G27" i="1"/>
  <c r="L25" i="1"/>
  <c r="I25" i="1"/>
  <c r="K24" i="1"/>
  <c r="K21" i="1" s="1"/>
  <c r="J24" i="1"/>
  <c r="M24" i="1" s="1"/>
  <c r="H24" i="1"/>
  <c r="L24" i="1" s="1"/>
  <c r="L20" i="1"/>
  <c r="K16" i="1"/>
  <c r="J16" i="1"/>
  <c r="I14" i="1"/>
  <c r="I13" i="1"/>
  <c r="M12" i="1"/>
  <c r="K11" i="1"/>
  <c r="J11" i="1"/>
  <c r="M16" i="1" l="1"/>
  <c r="J63" i="1"/>
  <c r="M63" i="1" s="1"/>
  <c r="M58" i="1"/>
  <c r="G40" i="2"/>
  <c r="G150" i="2" s="1"/>
  <c r="I150" i="2"/>
  <c r="I153" i="2" s="1"/>
  <c r="H12" i="3"/>
  <c r="P146" i="2"/>
  <c r="N99" i="2"/>
  <c r="H22" i="1" s="1"/>
  <c r="L22" i="1" s="1"/>
  <c r="K101" i="2"/>
  <c r="L101" i="2" s="1"/>
  <c r="M101" i="2" s="1"/>
  <c r="K68" i="1"/>
  <c r="J21" i="1"/>
  <c r="M21" i="1" s="1"/>
  <c r="J30" i="1"/>
  <c r="I62" i="4"/>
  <c r="H26" i="4"/>
  <c r="I26" i="4"/>
  <c r="G26" i="4"/>
  <c r="M116" i="2"/>
  <c r="P34" i="2"/>
  <c r="O16" i="2"/>
  <c r="L38" i="2"/>
  <c r="N43" i="2"/>
  <c r="O43" i="2" s="1"/>
  <c r="H15" i="1"/>
  <c r="L15" i="1" s="1"/>
  <c r="O48" i="2"/>
  <c r="L149" i="2"/>
  <c r="L142" i="2" s="1"/>
  <c r="K80" i="2"/>
  <c r="G15" i="1"/>
  <c r="O61" i="2"/>
  <c r="O90" i="2"/>
  <c r="K116" i="2"/>
  <c r="P15" i="2"/>
  <c r="N115" i="2"/>
  <c r="H26" i="1" s="1"/>
  <c r="L26" i="1" s="1"/>
  <c r="P119" i="2"/>
  <c r="K51" i="2"/>
  <c r="L62" i="2"/>
  <c r="G26" i="1"/>
  <c r="O119" i="2"/>
  <c r="P90" i="2"/>
  <c r="O26" i="2"/>
  <c r="L82" i="2"/>
  <c r="M82" i="2" s="1"/>
  <c r="K115" i="2"/>
  <c r="P51" i="2"/>
  <c r="I24" i="1"/>
  <c r="O116" i="2"/>
  <c r="N51" i="2"/>
  <c r="O51" i="2" s="1"/>
  <c r="O75" i="2"/>
  <c r="P116" i="2"/>
  <c r="L120" i="2"/>
  <c r="P142" i="2"/>
  <c r="K131" i="2"/>
  <c r="K125" i="2" s="1"/>
  <c r="M90" i="2"/>
  <c r="I29" i="1"/>
  <c r="K16" i="2"/>
  <c r="K21" i="2"/>
  <c r="P53" i="2"/>
  <c r="N103" i="2"/>
  <c r="L107" i="2"/>
  <c r="L103" i="2" s="1"/>
  <c r="H19" i="1"/>
  <c r="L19" i="1" s="1"/>
  <c r="L100" i="2"/>
  <c r="P103" i="2"/>
  <c r="O107" i="2"/>
  <c r="O15" i="2"/>
  <c r="P26" i="2"/>
  <c r="O74" i="2"/>
  <c r="K90" i="2"/>
  <c r="G38" i="4"/>
  <c r="J68" i="1"/>
  <c r="M68" i="1" s="1"/>
  <c r="K30" i="1"/>
  <c r="K28" i="2"/>
  <c r="K26" i="2" s="1"/>
  <c r="O28" i="2"/>
  <c r="P43" i="2"/>
  <c r="K75" i="2"/>
  <c r="K74" i="2" s="1"/>
  <c r="L90" i="2"/>
  <c r="J43" i="1"/>
  <c r="M43" i="1" s="1"/>
  <c r="J64" i="1"/>
  <c r="M64" i="1" s="1"/>
  <c r="O142" i="2"/>
  <c r="P61" i="2"/>
  <c r="M81" i="2"/>
  <c r="M60" i="2"/>
  <c r="M59" i="2" s="1"/>
  <c r="L59" i="2"/>
  <c r="M11" i="1"/>
  <c r="O34" i="2"/>
  <c r="K43" i="2"/>
  <c r="L43" i="2"/>
  <c r="N125" i="2"/>
  <c r="O133" i="2"/>
  <c r="M52" i="2"/>
  <c r="M51" i="2" s="1"/>
  <c r="L51" i="2"/>
  <c r="M76" i="2"/>
  <c r="M75" i="2" s="1"/>
  <c r="M74" i="2" s="1"/>
  <c r="L75" i="2"/>
  <c r="L74" i="2" s="1"/>
  <c r="I27" i="1"/>
  <c r="N14" i="2"/>
  <c r="L21" i="2"/>
  <c r="M23" i="2"/>
  <c r="M21" i="2" s="1"/>
  <c r="M38" i="2"/>
  <c r="M34" i="2" s="1"/>
  <c r="L34" i="2"/>
  <c r="N57" i="2"/>
  <c r="O59" i="2"/>
  <c r="P99" i="2"/>
  <c r="M43" i="2"/>
  <c r="H62" i="4"/>
  <c r="K59" i="2"/>
  <c r="L116" i="2"/>
  <c r="P125" i="2"/>
  <c r="J37" i="1" l="1"/>
  <c r="M30" i="1"/>
  <c r="J31" i="1"/>
  <c r="M31" i="1" s="1"/>
  <c r="G12" i="1"/>
  <c r="G65" i="1" s="1"/>
  <c r="O99" i="2"/>
  <c r="N98" i="2"/>
  <c r="N160" i="2" s="1"/>
  <c r="N166" i="2" s="1"/>
  <c r="I22" i="1"/>
  <c r="K99" i="2"/>
  <c r="K98" i="2" s="1"/>
  <c r="K160" i="2" s="1"/>
  <c r="K166" i="2" s="1"/>
  <c r="G25" i="4"/>
  <c r="I25" i="4"/>
  <c r="H25" i="4"/>
  <c r="I19" i="1"/>
  <c r="L80" i="2"/>
  <c r="I26" i="1"/>
  <c r="M107" i="2"/>
  <c r="M103" i="2" s="1"/>
  <c r="M80" i="2"/>
  <c r="I15" i="1"/>
  <c r="P57" i="2"/>
  <c r="P115" i="2"/>
  <c r="O57" i="2"/>
  <c r="O115" i="2"/>
  <c r="L61" i="2"/>
  <c r="M62" i="2"/>
  <c r="M61" i="2" s="1"/>
  <c r="G11" i="1"/>
  <c r="M120" i="2"/>
  <c r="M119" i="2" s="1"/>
  <c r="M115" i="2" s="1"/>
  <c r="L119" i="2"/>
  <c r="L115" i="2" s="1"/>
  <c r="K57" i="2"/>
  <c r="K42" i="2" s="1"/>
  <c r="L28" i="2"/>
  <c r="L26" i="2" s="1"/>
  <c r="G18" i="1"/>
  <c r="G21" i="1"/>
  <c r="G20" i="1"/>
  <c r="P14" i="2"/>
  <c r="P169" i="2" s="1"/>
  <c r="O103" i="2"/>
  <c r="H23" i="1"/>
  <c r="K15" i="2"/>
  <c r="K14" i="2" s="1"/>
  <c r="K155" i="2" s="1"/>
  <c r="L16" i="2"/>
  <c r="P42" i="2"/>
  <c r="L99" i="2"/>
  <c r="L98" i="2" s="1"/>
  <c r="M100" i="2"/>
  <c r="M99" i="2" s="1"/>
  <c r="L131" i="2"/>
  <c r="N155" i="2"/>
  <c r="O14" i="2"/>
  <c r="O169" i="2" s="1"/>
  <c r="N13" i="2"/>
  <c r="N169" i="2"/>
  <c r="H12" i="1"/>
  <c r="N42" i="2"/>
  <c r="P98" i="2"/>
  <c r="P160" i="2" s="1"/>
  <c r="K36" i="1"/>
  <c r="K37" i="1"/>
  <c r="H28" i="1"/>
  <c r="O125" i="2"/>
  <c r="M37" i="1" l="1"/>
  <c r="J36" i="1"/>
  <c r="K167" i="2"/>
  <c r="M98" i="2"/>
  <c r="M160" i="2" s="1"/>
  <c r="M166" i="2" s="1"/>
  <c r="H21" i="1"/>
  <c r="H64" i="1" s="1"/>
  <c r="N97" i="2"/>
  <c r="N41" i="2" s="1"/>
  <c r="M57" i="2"/>
  <c r="M42" i="2" s="1"/>
  <c r="P97" i="2"/>
  <c r="O155" i="2"/>
  <c r="O98" i="2"/>
  <c r="O160" i="2" s="1"/>
  <c r="K97" i="2"/>
  <c r="K41" i="2" s="1"/>
  <c r="L57" i="2"/>
  <c r="L42" i="2" s="1"/>
  <c r="P155" i="2"/>
  <c r="L97" i="2"/>
  <c r="M28" i="2"/>
  <c r="M26" i="2" s="1"/>
  <c r="P13" i="2"/>
  <c r="M131" i="2"/>
  <c r="M125" i="2" s="1"/>
  <c r="L125" i="2"/>
  <c r="L15" i="2"/>
  <c r="L14" i="2" s="1"/>
  <c r="M16" i="2"/>
  <c r="M15" i="2" s="1"/>
  <c r="G64" i="1"/>
  <c r="G63" i="1"/>
  <c r="K169" i="2"/>
  <c r="K13" i="2"/>
  <c r="I23" i="1"/>
  <c r="L23" i="1"/>
  <c r="L160" i="2"/>
  <c r="L167" i="2" s="1"/>
  <c r="N167" i="2"/>
  <c r="H65" i="1"/>
  <c r="L12" i="1"/>
  <c r="I12" i="1"/>
  <c r="H11" i="1"/>
  <c r="O42" i="2"/>
  <c r="H18" i="1"/>
  <c r="O13" i="2"/>
  <c r="K42" i="1"/>
  <c r="L28" i="1"/>
  <c r="I28" i="1"/>
  <c r="J42" i="1" l="1"/>
  <c r="M42" i="1" s="1"/>
  <c r="M36" i="1"/>
  <c r="M97" i="2"/>
  <c r="M41" i="2" s="1"/>
  <c r="H20" i="1"/>
  <c r="I20" i="1" s="1"/>
  <c r="L166" i="2"/>
  <c r="O97" i="2"/>
  <c r="L21" i="1"/>
  <c r="H63" i="1"/>
  <c r="L63" i="1" s="1"/>
  <c r="I21" i="1"/>
  <c r="P166" i="2"/>
  <c r="K40" i="2"/>
  <c r="K150" i="2" s="1"/>
  <c r="K153" i="2" s="1"/>
  <c r="K158" i="2"/>
  <c r="M167" i="2"/>
  <c r="L41" i="2"/>
  <c r="L40" i="2" s="1"/>
  <c r="P167" i="2"/>
  <c r="M14" i="2"/>
  <c r="M13" i="2" s="1"/>
  <c r="O166" i="2"/>
  <c r="L155" i="2"/>
  <c r="L13" i="2"/>
  <c r="L169" i="2"/>
  <c r="O167" i="2"/>
  <c r="G17" i="1"/>
  <c r="G16" i="1" s="1"/>
  <c r="P41" i="2"/>
  <c r="L18" i="1"/>
  <c r="I18" i="1"/>
  <c r="K44" i="1"/>
  <c r="K48" i="1" s="1"/>
  <c r="N158" i="2"/>
  <c r="N40" i="2"/>
  <c r="H17" i="1"/>
  <c r="O41" i="2"/>
  <c r="I11" i="1"/>
  <c r="L11" i="1"/>
  <c r="L64" i="1"/>
  <c r="I64" i="1"/>
  <c r="L65" i="1"/>
  <c r="I65" i="1"/>
  <c r="J44" i="1" l="1"/>
  <c r="M44" i="1" s="1"/>
  <c r="I63" i="1"/>
  <c r="L158" i="2"/>
  <c r="M155" i="2"/>
  <c r="M169" i="2"/>
  <c r="L150" i="2"/>
  <c r="L153" i="2" s="1"/>
  <c r="P158" i="2"/>
  <c r="O158" i="2"/>
  <c r="M158" i="2"/>
  <c r="M40" i="2"/>
  <c r="M150" i="2" s="1"/>
  <c r="M153" i="2" s="1"/>
  <c r="G68" i="1"/>
  <c r="G30" i="1"/>
  <c r="G36" i="1" s="1"/>
  <c r="G42" i="1" s="1"/>
  <c r="L17" i="1"/>
  <c r="I17" i="1"/>
  <c r="H16" i="1"/>
  <c r="J48" i="1"/>
  <c r="M48" i="1" s="1"/>
  <c r="P40" i="2"/>
  <c r="P150" i="2"/>
  <c r="O40" i="2"/>
  <c r="N150" i="2"/>
  <c r="G44" i="1" l="1"/>
  <c r="G48" i="1" s="1"/>
  <c r="O150" i="2"/>
  <c r="N153" i="2"/>
  <c r="H68" i="1"/>
  <c r="I16" i="1"/>
  <c r="L16" i="1"/>
  <c r="H30" i="1"/>
  <c r="O153" i="2" l="1"/>
  <c r="H31" i="1"/>
  <c r="H36" i="1" s="1"/>
  <c r="L30" i="1"/>
  <c r="H37" i="1"/>
  <c r="I30" i="1"/>
  <c r="L68" i="1"/>
  <c r="I68" i="1"/>
  <c r="L36" i="1" l="1"/>
  <c r="H42" i="1"/>
  <c r="I36" i="1"/>
  <c r="L31" i="1"/>
  <c r="I31" i="1"/>
  <c r="I37" i="1"/>
  <c r="L37" i="1"/>
  <c r="H44" i="1" l="1"/>
  <c r="H48" i="1" s="1"/>
  <c r="L42" i="1"/>
  <c r="I42" i="1"/>
  <c r="L44" i="1" l="1"/>
  <c r="I44" i="1"/>
  <c r="L48" i="1"/>
  <c r="I4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Aura</author>
    <author>User</author>
  </authors>
  <commentList>
    <comment ref="G52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vanatoare 1,37
</t>
        </r>
      </text>
    </comment>
    <comment ref="I110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prima  pensionare
1)sef de ocol    188.92
2)pad.vanatoare 10.00</t>
        </r>
      </text>
    </comment>
    <comment ref="N110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prima  pensionare
1)sef de ocol    80.735 mii lei
2)res.pepiniera/pasuni 78.487 mii lei
3)diverse 5 mii lei
</t>
        </r>
      </text>
    </comment>
  </commentList>
</comments>
</file>

<file path=xl/sharedStrings.xml><?xml version="1.0" encoding="utf-8"?>
<sst xmlns="http://schemas.openxmlformats.org/spreadsheetml/2006/main" count="627" uniqueCount="443">
  <si>
    <t>AUTORITATEA ADMINISTRAŢIEI PUBLICE CENTRALE/LOCALE</t>
  </si>
  <si>
    <t>Anexa nr.1</t>
  </si>
  <si>
    <t>Operatorul economic: R.P.L. OCOLUL SILVIC AL MUNICIPIULUI BISTRITA R.A .</t>
  </si>
  <si>
    <t>Sediul/Adresa: Vasile Lupu nr.16 A</t>
  </si>
  <si>
    <t>Cod unic de înregistrare: RO 25742072</t>
  </si>
  <si>
    <t>mii lei</t>
  </si>
  <si>
    <t>INDICATORI</t>
  </si>
  <si>
    <t>Nr.rd.</t>
  </si>
  <si>
    <t>%</t>
  </si>
  <si>
    <t>9 = 7/5</t>
  </si>
  <si>
    <t>10 = 8/7</t>
  </si>
  <si>
    <t>6=5/4</t>
  </si>
  <si>
    <t>I</t>
  </si>
  <si>
    <t>VENITURI TOTALE (rd. 1 = rd. 2 + rd. 5 + rd.5)</t>
  </si>
  <si>
    <t xml:space="preserve">Venituri totale din exploatare, din care: </t>
  </si>
  <si>
    <t>a)</t>
  </si>
  <si>
    <t>subventii, cf.prevederilor legale in vigoare</t>
  </si>
  <si>
    <t>b)</t>
  </si>
  <si>
    <t>transferuri, cf.prevederilor legale in vigoare</t>
  </si>
  <si>
    <t>Venituri financiare</t>
  </si>
  <si>
    <t>II</t>
  </si>
  <si>
    <t>CHELTUIELI TOTALE (rd. 6 = rd. 7 + rd. 19)</t>
  </si>
  <si>
    <t>Cheltuieli de exploatare, din care:</t>
  </si>
  <si>
    <t>A.</t>
  </si>
  <si>
    <t>Cheltuieli de exploatare(Rd.7=Rd.8+Rd.9+R.10+Rd.18), din care:</t>
  </si>
  <si>
    <t>B.</t>
  </si>
  <si>
    <t>cheltuieli cu impozite, taxe şi vărsăminte asimilate</t>
  </si>
  <si>
    <t>C.</t>
  </si>
  <si>
    <t>cheltuieli cu personalul (Rd.10=Rd.11+Rd.14+Rd.16+Rd.17), din care:</t>
  </si>
  <si>
    <t>C0</t>
  </si>
  <si>
    <t>cheltuieli de natura salariala (rd.13+rd.14)</t>
  </si>
  <si>
    <t>C1</t>
  </si>
  <si>
    <t>ch. cu salariile</t>
  </si>
  <si>
    <t>C2</t>
  </si>
  <si>
    <t>bonusuri</t>
  </si>
  <si>
    <t>C3</t>
  </si>
  <si>
    <t>alte cheltuieli cu personalul, din care:</t>
  </si>
  <si>
    <t>- cheltuieli cu plaţi compensatorii aferente disponibilizărilor de personal</t>
  </si>
  <si>
    <t>C4</t>
  </si>
  <si>
    <t>cheltuieli aferente contractului de mandat si altor organe de conducere si control, comisii si comitete</t>
  </si>
  <si>
    <t>C5</t>
  </si>
  <si>
    <t>cheltuieli cu contributiile datorate de angajator</t>
  </si>
  <si>
    <t>D.</t>
  </si>
  <si>
    <t>alte cheltuieli de exploatare</t>
  </si>
  <si>
    <t>Cheltuieli financiare</t>
  </si>
  <si>
    <t>III</t>
  </si>
  <si>
    <t>REZULTATUL BRUT (profit/pierdere)( Rd.20=Rd.1-Rd.6)</t>
  </si>
  <si>
    <t>IV</t>
  </si>
  <si>
    <t>IMPOZIT PE PROFIT CURENT</t>
  </si>
  <si>
    <t>IMPOZIT PE PROFIT AMANAT</t>
  </si>
  <si>
    <t>VENITURI DIN IMPOZITUL PE PROFIT AMANAT</t>
  </si>
  <si>
    <t>IMOIZITUL SPECIFIC UNOR ACTIVITATI</t>
  </si>
  <si>
    <t>ALTE IMPOZITE NEPREZENTATE  LA ELEMENTELE DE MAI SUS</t>
  </si>
  <si>
    <t>V</t>
  </si>
  <si>
    <t>PROFITUL /PIERDEREA NETA A PERIOADEI DE RAPORTARE (rd.26=rd.20-rd.21-rd.22+rd.23-rd.24-Rd25), din care:</t>
  </si>
  <si>
    <t>Rezerve legale</t>
  </si>
  <si>
    <t>Alte rezerve reprezentând facilităţi fiscale prevăzute de lege</t>
  </si>
  <si>
    <t>Acoperirea pierderilor contabile din anii precedenţi</t>
  </si>
  <si>
    <t>Constituirea surselor proprii de finanţare pentru proiectele cofinanţate din împrumuturi externe, precum şi pentru constituirea surselor necesare rambursării ratelor de capital, plăţii dobânzilor, comisioanelor şi altor costuri aferente acestor împrumuturi</t>
  </si>
  <si>
    <t>Alte repartizări prevăzute de lege</t>
  </si>
  <si>
    <t>Profitul contabil rămas după deducerea sumelor de la rd. 27, 28, 29, 30,31(Rd.32=Rd.26-(Rd.27 la Rd.31) &gt; = 0.</t>
  </si>
  <si>
    <t>Participarea salariaţilor la profit în limita a 10% din profitul net, dar nu mai mult de nivelul unui salariu de bază mediu lunar realizat la nivelul operatorului economic în exerciţiul financiar de referinţă</t>
  </si>
  <si>
    <t>Minimum 50% vărsăminte la bugetul  local Bistrita si bugetul Comunei Livezile în cazul regiilor autonome, ori dividende cuvenite acţionarilor, în cazul societăţilor/companiilor naţionale şi societăţilor cu capital integral sau majoritar de stat, din care:</t>
  </si>
  <si>
    <t xml:space="preserve"> dividende cuvenite bugetului de stat</t>
  </si>
  <si>
    <t>dividende cuvenite bugetului local</t>
  </si>
  <si>
    <t>c)</t>
  </si>
  <si>
    <t xml:space="preserve"> dividende cuvenite altor actionari</t>
  </si>
  <si>
    <t>Profitul nerepartizat pe destinaţiile prevăzute la rd. 33 -rd.34 se repartizează la alte rezerve şi constituie sursa proprie de finanţare</t>
  </si>
  <si>
    <t>VI</t>
  </si>
  <si>
    <t>VENITURI DIN FONDURI EUROPENE</t>
  </si>
  <si>
    <t>VII</t>
  </si>
  <si>
    <t>CHELTUIELI ELIGIBILE DIN FONDURI EUROPENE, din care:</t>
  </si>
  <si>
    <t>cheltuieli materiale</t>
  </si>
  <si>
    <t>cheltuieli cu salariile</t>
  </si>
  <si>
    <t>cheltuieli privind prestările de servicii</t>
  </si>
  <si>
    <t>d)</t>
  </si>
  <si>
    <t>cheltuieli cu reclama şi publicitate</t>
  </si>
  <si>
    <t>e)</t>
  </si>
  <si>
    <t>alte cheltuieli</t>
  </si>
  <si>
    <t>VIII</t>
  </si>
  <si>
    <t>SURSE DE FINANŢARE A INVESTIŢIILOR, din care:</t>
  </si>
  <si>
    <t>Alocaţii de la buget</t>
  </si>
  <si>
    <t>alocatii bugetare aferente platii angajamentelor din anii anteriori</t>
  </si>
  <si>
    <t>IX</t>
  </si>
  <si>
    <t>CHELTUIELI PENTRU INVESTIŢII</t>
  </si>
  <si>
    <t>X</t>
  </si>
  <si>
    <t>DATE DE FUNDAMENTARE</t>
  </si>
  <si>
    <t>Nr. de personal prognozat la finele anului</t>
  </si>
  <si>
    <t>Nr. mediu de salariaţi total</t>
  </si>
  <si>
    <t>Câştigul mediu lunar pe salariat (lei/persoană) determinat pe baza chltuielilor de natura  salariala</t>
  </si>
  <si>
    <t>Câştigul mediu lunar pe salariat (lei/persoană)  determinat pe baza cheltuielilor de natura salariala, recalculat cf. Legii anuale a bugetului de stat **)</t>
  </si>
  <si>
    <t>Productivitatea muncii în unităţi valorice pe total personal mediu( mii lei/persoana)(rd. 2/rd. 51)</t>
  </si>
  <si>
    <t>Productivitatea muncii in unitati valorice pe total personal mediu recalculata cf.Legii anuale a bugetului de stat</t>
  </si>
  <si>
    <t>Productivitatea muncii în unităţi fizice pe total personal mediu (cantitate produse finite /persoană)</t>
  </si>
  <si>
    <t>Cheltuieli totale la 1000 lei venituri totale (Rd.57=(Rd.6/Rd.1) x 1000</t>
  </si>
  <si>
    <t>Plăţi restante</t>
  </si>
  <si>
    <t>Creanţe restante</t>
  </si>
  <si>
    <t>CONDUCĂTORUL UNITĂŢII,</t>
  </si>
  <si>
    <t>CONDUCATORUL COMPARTIMENTUL  FINANCIAR-CONTABIL</t>
  </si>
  <si>
    <t>ing.Anca Emil Titus</t>
  </si>
  <si>
    <t>ing. Anca Emil Titus</t>
  </si>
  <si>
    <t xml:space="preserve">ec. Aluaș Aurelia </t>
  </si>
  <si>
    <t>Anexa nr.2</t>
  </si>
  <si>
    <t>Sediul/Adresa: Vasile Lupu NR.16 A</t>
  </si>
  <si>
    <t xml:space="preserve">Cod unic de înregistrare: RO 25742072 </t>
  </si>
  <si>
    <t>Nr. rd.</t>
  </si>
  <si>
    <t>Prevederi an precedent  ( N-1)</t>
  </si>
  <si>
    <t>din care</t>
  </si>
  <si>
    <t>an N-2</t>
  </si>
  <si>
    <t>conf.HG  /Ordin comun</t>
  </si>
  <si>
    <t>Conform Hotarârii C.A.</t>
  </si>
  <si>
    <t>Trim I</t>
  </si>
  <si>
    <t>Trim II</t>
  </si>
  <si>
    <t>Trim III</t>
  </si>
  <si>
    <t>7=6/5</t>
  </si>
  <si>
    <t>8 =5/3a</t>
  </si>
  <si>
    <t>3a</t>
  </si>
  <si>
    <t>4a</t>
  </si>
  <si>
    <t>6a</t>
  </si>
  <si>
    <t>6b</t>
  </si>
  <si>
    <t>6c</t>
  </si>
  <si>
    <t>VENITURI TOTALE (Rd.1=rd. 2 + rd. 22 )</t>
  </si>
  <si>
    <t>Venituri totale din exploatare (Rd.2=rd. 3 + rd. 8 + rd. 9 + rd. 12 + rd. 13 + rd. 14), din care:</t>
  </si>
  <si>
    <t>din producţia vândută (Rd.3=rd. 4 + rd. 5 + rd. 6 + rd. 7), din care:</t>
  </si>
  <si>
    <t>a1)</t>
  </si>
  <si>
    <t>din vânzarea produselor</t>
  </si>
  <si>
    <t>a2)</t>
  </si>
  <si>
    <t>din servicii prestate</t>
  </si>
  <si>
    <t>a3)</t>
  </si>
  <si>
    <t>din redevenţe şi chirii</t>
  </si>
  <si>
    <t>a4)</t>
  </si>
  <si>
    <t>alte venituri Vanatoare</t>
  </si>
  <si>
    <t>din vânzarea mărfurilor</t>
  </si>
  <si>
    <t>din subvenţii şi transferuri de exploatare aferente cifrei de afaceri nete (Rd.9=rd. 10 + rd. 11)  din care:</t>
  </si>
  <si>
    <t>c1)</t>
  </si>
  <si>
    <t>subvenţii, cf. prevederilor legale în vigoare</t>
  </si>
  <si>
    <t>c2)</t>
  </si>
  <si>
    <t>transferuri, cf. prevederilor legale în vigoare</t>
  </si>
  <si>
    <t>din producţia de imobilizări</t>
  </si>
  <si>
    <t>venituri aferente costului producţiei în curs de execuţie</t>
  </si>
  <si>
    <t>f)</t>
  </si>
  <si>
    <t>alte venituri din exploatare (Rd.1+rd. 16 + rd. 19 + rd. 20 + rd. 21), din care:</t>
  </si>
  <si>
    <t>f1)</t>
  </si>
  <si>
    <t>din amenzi şi penalităţi</t>
  </si>
  <si>
    <t>f2)</t>
  </si>
  <si>
    <t>din vânzarea activelor şi alte operaţii de capital (Rd.1= rd. 17 + rd. 18), din care:</t>
  </si>
  <si>
    <t>- active corporale</t>
  </si>
  <si>
    <t>- active necorporale</t>
  </si>
  <si>
    <t>f3)</t>
  </si>
  <si>
    <t>din subvenţii pentru investiţii</t>
  </si>
  <si>
    <t>f4)</t>
  </si>
  <si>
    <t>din valorificarea certificatelor C02</t>
  </si>
  <si>
    <t>f5)</t>
  </si>
  <si>
    <t>alte venituri</t>
  </si>
  <si>
    <t>Venituri financiare (Rd.22=rd. 23 + rd. 24 + rd. 25 + rd. 26 + rd. 27), din care:</t>
  </si>
  <si>
    <t>din imobilizări financiare</t>
  </si>
  <si>
    <t>din investiţii financiare</t>
  </si>
  <si>
    <t>din diferenţe de curs</t>
  </si>
  <si>
    <t>din dobânzi</t>
  </si>
  <si>
    <t>alte venituri financiare</t>
  </si>
  <si>
    <t>II.</t>
  </si>
  <si>
    <t>CHELTUIELI TOTALE (rd.28= rd. 29 + rd. 130)</t>
  </si>
  <si>
    <t>Cheltuieli de exploatare (rd. 29= rd.30 + rd.78 + rd.85 + rd. 113), din care:</t>
  </si>
  <si>
    <t>A. Cheltuieli cu bunuri şi servicii (rd. 30= rd. 31+rd.39 + rd. 45) din care:</t>
  </si>
  <si>
    <t>A1</t>
  </si>
  <si>
    <t>Cheltuieli privind stocurile (rd. 31 = rd. 32 + rd. 33 + rd. 36 + rd. 37 + rd.38), din care:</t>
  </si>
  <si>
    <t>cheltuieli cu materiile prime</t>
  </si>
  <si>
    <t>cheltuieli cu materialele consumabile, din care:</t>
  </si>
  <si>
    <t>b1)</t>
  </si>
  <si>
    <t>cheltuieli cu piesele de schimb</t>
  </si>
  <si>
    <t>b2)</t>
  </si>
  <si>
    <t>cheltuieli cu combustibilii</t>
  </si>
  <si>
    <t>cheltuieli privind materialele de natura obiectelor de inventar</t>
  </si>
  <si>
    <t>cheltuieli privind energia şi apa</t>
  </si>
  <si>
    <t>cheltuieli privind mărfurile</t>
  </si>
  <si>
    <t>A2</t>
  </si>
  <si>
    <t>Cheltuieli privind serviciile executate de terţi (rd.39= rd. 40 + rd. 41 + rd. 44), din care:</t>
  </si>
  <si>
    <t>cheltuieli cu întreţinerea şi reparaţiile</t>
  </si>
  <si>
    <t>cheltuieli privind chiriile (rd.41= rd. 42 + rd. 43) din care:</t>
  </si>
  <si>
    <t>- către operatori cu capital integral/majoritar de stat</t>
  </si>
  <si>
    <t>- către operatori cu capital privat</t>
  </si>
  <si>
    <t>prime de asigurare</t>
  </si>
  <si>
    <t>A3</t>
  </si>
  <si>
    <t>Cheltuieli cu alte servicii executate de terţi (Rd.45= rd. 46 + rd. 47 + rd. 49 + rd. 56 + rd. 61 + rd. 62 + rd. 66 + rd. 67 + rd. 68 + rd. 77), din care:</t>
  </si>
  <si>
    <t>cheltuieli cu colaboratorii</t>
  </si>
  <si>
    <t>cheltuieli privind comisioanele şi onorariul, din care:</t>
  </si>
  <si>
    <t>cheltuieli privind consultanţa juridică</t>
  </si>
  <si>
    <t>cheltuieli de protocol, reclamă şi publicitate (rd. 51 + rd. 53), din care:</t>
  </si>
  <si>
    <t>cheltuieli de protocol, din care:</t>
  </si>
  <si>
    <t>- tichete cadou potrivit Legii nr. 193/2006, cu modificările ulterioare</t>
  </si>
  <si>
    <t>cheltuieli de reclamă şi publicitate, din care:</t>
  </si>
  <si>
    <t>- tichete cadou ptr. cheltuieli de reclamă şi publicitate, potrivit Legii nr. 193/2006, cu modificările ulterioare</t>
  </si>
  <si>
    <t>- tichete cadou ptr. campanii de marketing, studiul pieţei, promovarea pe pieţe existente sau noi, potrivit Legii nr. 193/2006, cu modificările ulterioare</t>
  </si>
  <si>
    <t>- ch.de promovarea produselor</t>
  </si>
  <si>
    <t>Ch. cu sponsorizarea potrivit OUG nr. 2/2015 (Rd.56=rd. 57 + rd. 58 + rd. 60 ), din care:</t>
  </si>
  <si>
    <t>d1)</t>
  </si>
  <si>
    <t>ch. de sponsorizare in domeniul medical si sanatate</t>
  </si>
  <si>
    <t>d2)</t>
  </si>
  <si>
    <t>ch. de sponsorizare in domeniile educatie, invatamant si sport din care:</t>
  </si>
  <si>
    <t>pentru cluburile sportive</t>
  </si>
  <si>
    <t>d4)</t>
  </si>
  <si>
    <t>cheltuieli cu sponsorizarea pt. alte actiuni  si activitati</t>
  </si>
  <si>
    <t>cheltuieli cu transportul de bunuri şi persoane</t>
  </si>
  <si>
    <t>cheltuieli de deplasare, detaşare, transfer, din care:</t>
  </si>
  <si>
    <t xml:space="preserve"> cheltuieli cu diurna (Rd.63=rd. 64 + rd. 65), din care:</t>
  </si>
  <si>
    <t xml:space="preserve"> interna</t>
  </si>
  <si>
    <t xml:space="preserve"> externa</t>
  </si>
  <si>
    <t>g)</t>
  </si>
  <si>
    <t>cheltuieli poştale şi taxe de telecomunicaţii</t>
  </si>
  <si>
    <t>h)</t>
  </si>
  <si>
    <t>cheltuieli cu serviciile bancare şi asimilate</t>
  </si>
  <si>
    <t>i)</t>
  </si>
  <si>
    <t>alte cheltuieli cu serviciile executate de terţi, din care:</t>
  </si>
  <si>
    <t>i1)</t>
  </si>
  <si>
    <t>cheltuieli de asigurare şi pază</t>
  </si>
  <si>
    <t>i2)</t>
  </si>
  <si>
    <t>cheltuieli privind întreţinerea şi funcţionarea tehnicii de calcul</t>
  </si>
  <si>
    <t>i3)</t>
  </si>
  <si>
    <t>cheltuieli cu pregătirea profesională</t>
  </si>
  <si>
    <t>i4)</t>
  </si>
  <si>
    <t>cheltuieli cu reevaluarea imobilizărilor corporale şi necorporale, din care:</t>
  </si>
  <si>
    <t>- aferente bunurilor de natura domeniului public</t>
  </si>
  <si>
    <t>i5)</t>
  </si>
  <si>
    <t>cheltuieli cu prestaţiile efectuate de filiale</t>
  </si>
  <si>
    <t>i6)</t>
  </si>
  <si>
    <t>cheltuieli privind recrutarea şi plasarea personalului de conducere cf. Ordonanţei de urgenţă a Guvernului nr. 109/2011</t>
  </si>
  <si>
    <t>i7)</t>
  </si>
  <si>
    <t>cheltuieli cu anunţurile privind licitaţiile şi alte anunţuri</t>
  </si>
  <si>
    <t>j)</t>
  </si>
  <si>
    <t>B. Cheltuieli cu impozite, taxe şi vărsăminte asimilate (Rd.78= rd.79+rd. 80 + rd. 81 + rd. 82 + rd. 83 + rd. 84), din care:</t>
  </si>
  <si>
    <t>ch. cu taxa pt. activitatea de exploatare a resurselor minerale</t>
  </si>
  <si>
    <t>ch. cu redevenţa pentru concesionarea bunurilor publice şi resursele minerale</t>
  </si>
  <si>
    <t>ch. cu taxa de licenţă</t>
  </si>
  <si>
    <t>ch. cu taxa de autorizare</t>
  </si>
  <si>
    <t>ch. cu taxa de mediu</t>
  </si>
  <si>
    <t>cheltuieli cu alte taxe şi impozite</t>
  </si>
  <si>
    <t>C. Cheltuieli cu personalul (Rd.85=Rd.86+rd. 99+ rd. 103 + rd. 112)</t>
  </si>
  <si>
    <t>Cheltuieli de natura salariala (Rd.86=rd.87+ rd.91)</t>
  </si>
  <si>
    <t>Cheltuieli cu salariile (Rd.87=rd. 88 + rd. 89 + rd. 90), din care:</t>
  </si>
  <si>
    <t>a) salarii de bază</t>
  </si>
  <si>
    <t>b) sporuri, prime şi alte bonificaţii aferente salariului de bază (conform CCM)</t>
  </si>
  <si>
    <t>c) alte bonificaţii (conform CCM)</t>
  </si>
  <si>
    <t>Bonusuri (Rd.91=rd.92+rd. 95 + rd. 96 + rd. 97 + rd. 98), din care:</t>
  </si>
  <si>
    <t>a) cheltuieli sociale prevăzute la art. 25 din Legea nr. 227/2015 privind Codul fiscal, cu modificările şi completările ulterioare, din care:</t>
  </si>
  <si>
    <t>- tichete de creşă, cf. Legii nr. 193/2006, cu modificările ulterioare;</t>
  </si>
  <si>
    <t>- tichete cadou pentru cheltuieli sociale potrivit Legii nr. 193/2006, cu modificările ulterioare;</t>
  </si>
  <si>
    <t>b) tichete de masă;</t>
  </si>
  <si>
    <t>c) tichete de vacanţă;</t>
  </si>
  <si>
    <t>d) ch. privind participarea salariaţilor la profitul obţinut în anul precedent</t>
  </si>
  <si>
    <t>e) alte cheltuieli conform CCM.</t>
  </si>
  <si>
    <t>Alte cheltuieli cu personalul (Rd.99 = rd. 100 + rd. 101 + rd. 102), din care:</t>
  </si>
  <si>
    <t>a) ch. cu plăţile compensatorii aferente disponibilizărilor de personal</t>
  </si>
  <si>
    <t>b) ch. cu drepturile salariale cuvenite în baza unor hotărâri judecătoreşti</t>
  </si>
  <si>
    <t>c) cheltuieli de natură salarială aferente restructurării, privatizării, administrator special, alte comisii şi comitete</t>
  </si>
  <si>
    <t>Cheltuieli aferente contractului de mandat şi a altor organe de conducere şi control, comisii şi comitete (Rd.103= rd. 104 + rd. 107 + rd. 110 + rd.111), din care:</t>
  </si>
  <si>
    <t>a) pentru directori/directorat,din care:</t>
  </si>
  <si>
    <t>componenta fixa</t>
  </si>
  <si>
    <t xml:space="preserve">componenta variabila </t>
  </si>
  <si>
    <t>b) pentru consiliul de administraţie/consiliul de supraveghere, din care:</t>
  </si>
  <si>
    <t>c) pentru  cenzori</t>
  </si>
  <si>
    <t>d) pentru alte comisii şi comitete constituite potrivit legii</t>
  </si>
  <si>
    <t>Cheltuieli cu contributiile datorate de angajator</t>
  </si>
  <si>
    <t>D. Alte cheltuieli de exploatare (Rd.113 = rd. 114 + rd. 117 + rd. 118 + rd. 119 + rd. 120 + rd. 121), din care:</t>
  </si>
  <si>
    <t>cheltuieli cu majorări şi penalităţi (Rd.114=rd. 115 + rd. 116), din care:</t>
  </si>
  <si>
    <t>- către bugetul general consolidat</t>
  </si>
  <si>
    <t>- către alţi creditori</t>
  </si>
  <si>
    <t>cheltuieli privind activele imobilizate</t>
  </si>
  <si>
    <t>cheltuieli aferente transferurilor pentru plata personalului</t>
  </si>
  <si>
    <t>ch. cu amortizarea imobilizărilor corporale şi necorporale</t>
  </si>
  <si>
    <t>ajustări şi deprecieri pentru pierdere de valoare şi provizioane (Rd.121=rd. 122 - rd. 125), din care:</t>
  </si>
  <si>
    <t>cheltuieli privind ajustările şi provizioanele</t>
  </si>
  <si>
    <t>f1.1)</t>
  </si>
  <si>
    <t>provizioane privind participarea la profit a salarialtilor</t>
  </si>
  <si>
    <t>f1.2)</t>
  </si>
  <si>
    <t>provizioane in legatura cu contractul de mandat</t>
  </si>
  <si>
    <t>venituri din provizioane şi ajustări pentru depreciere sau pierderi de valoare, din care:</t>
  </si>
  <si>
    <t>f2.1)</t>
  </si>
  <si>
    <t>din anularea provizioanelor (Rd.126=rd. 127 + rd. 128 + rd. 129), din care:</t>
  </si>
  <si>
    <t>- din participarea salariaţilor Ia profit</t>
  </si>
  <si>
    <t>- din deprecierea imobilizărilor corporale şi a activelor circulante</t>
  </si>
  <si>
    <t>- venituri din alte provizioane</t>
  </si>
  <si>
    <t>Cheltuieli financiare (Rd.130=rd. 131 + rd. 134 + rd. 137), din care:</t>
  </si>
  <si>
    <t>cheltuieli privind dobânzile, din care:</t>
  </si>
  <si>
    <t>aferente creditelor pentru investiţii</t>
  </si>
  <si>
    <t>aferente creditelor pentru activitatea curentă</t>
  </si>
  <si>
    <t>cheltuieli din diferenţe de curs valutar , din care:</t>
  </si>
  <si>
    <t>alte cheltuieli financiare</t>
  </si>
  <si>
    <t>REZULTATUL BRUT (profit/pierdere) (rd. 1 - rd. 28)</t>
  </si>
  <si>
    <t>venituri neimpozabile</t>
  </si>
  <si>
    <t>cheltuieli nedeductibile fiscal</t>
  </si>
  <si>
    <t>IMPOZIT PE PROFIT</t>
  </si>
  <si>
    <t>Venituri totale din exploatare , din care:(Rd.2)</t>
  </si>
  <si>
    <t>venituri din subventii si transferuri</t>
  </si>
  <si>
    <t>alte venituri care nu se iau in calcul la determinarea productivitatii muncii, cf.Legii anuale a bugetului de stat</t>
  </si>
  <si>
    <t>Cheltuieli totale din exploatare , din care :Rd.29</t>
  </si>
  <si>
    <t>Cheltuieli din exploatare care nu se iau in calcul la determinarea rezultatului brut realizat in anul precedent, cf.Legii anuale a bugetului de stat</t>
  </si>
  <si>
    <t>Cheltuieli de natura salariala (rd.86),din care:**)</t>
  </si>
  <si>
    <t>………………….</t>
  </si>
  <si>
    <t>147a</t>
  </si>
  <si>
    <t>147b</t>
  </si>
  <si>
    <t>147c</t>
  </si>
  <si>
    <t>Nr. mediu de salariaţi</t>
  </si>
  <si>
    <t>Câştigul mediu lunar pe salariat (lei/persoana)determinat pe baza cheltuielilor cu salariile [(rd. 147/Rd.149]/12* 1000</t>
  </si>
  <si>
    <t>Câştigul mediu lunar pe salariat (lei/persoana)determinat pe baza cheltuielilor de naura salariala,recalcular cf.Legii anuale a bugetului de stat</t>
  </si>
  <si>
    <t>Câştigul mediu lunar pe salariat (lei/persoana)determinat pe baza cheltuielilor de naura salariala,recalcular cf.OG nr.26/2013 si Legii anuale a bugetului de stat</t>
  </si>
  <si>
    <t>Productivitatea muncii în unităţi valorice pe total personal mediu (mii lei/persoană) (rd. 2 /rd. 149)</t>
  </si>
  <si>
    <t>Productivitatea muncii în unităţi valorice  pe total personal mediu recalculata cf. Legii anuale a bugetului de stat</t>
  </si>
  <si>
    <t>Productivitatea muncii in unitati fizice pe total personal mediu (cantitate produse finite/persoana) W=QPF/Rd.149</t>
  </si>
  <si>
    <t>Elemente de calcul a productivităţii muncii în unităţi fizice, din care:</t>
  </si>
  <si>
    <t>cantitate de produse finite (QPF)</t>
  </si>
  <si>
    <t xml:space="preserve"> preţ mediu (p)</t>
  </si>
  <si>
    <t>valoare = QPF x p</t>
  </si>
  <si>
    <t xml:space="preserve"> pondere în venituri de exploatare totale = rd. 157/rd. 2</t>
  </si>
  <si>
    <t>Plati restante</t>
  </si>
  <si>
    <t>Creante restante, din care:</t>
  </si>
  <si>
    <t>de la operatorii cu capital integral / majoritar de stat</t>
  </si>
  <si>
    <t>de la operatorii cu capitalprivat</t>
  </si>
  <si>
    <t>de la bugetul de stat</t>
  </si>
  <si>
    <t>de la bugetul local</t>
  </si>
  <si>
    <t>de la alte entitati</t>
  </si>
  <si>
    <t>Credite pentru finantarea activitatii curente (soldul ramas de rambrursat</t>
  </si>
  <si>
    <t>Redistribuiri/distribuiri totale cf.OUG nr.29/2017 din:</t>
  </si>
  <si>
    <t>alte rezerve</t>
  </si>
  <si>
    <t>rezultatul reportat</t>
  </si>
  <si>
    <t>CONDUCĂTORUL COMPARTIMENTULUI   FINANCIAR-CONTABIL</t>
  </si>
  <si>
    <t>Anexa nr.3</t>
  </si>
  <si>
    <t>Sediul/Adresa: Vasile Lupu NR. 16 A</t>
  </si>
  <si>
    <t>Gradul de realizare a veniturilor totale</t>
  </si>
  <si>
    <t>Mii lei</t>
  </si>
  <si>
    <t xml:space="preserve">Nr </t>
  </si>
  <si>
    <t xml:space="preserve">INDICATORI </t>
  </si>
  <si>
    <t>Prevederi an N-2</t>
  </si>
  <si>
    <t>%        4=3/2</t>
  </si>
  <si>
    <t>Prevederi an precedent (N-1)</t>
  </si>
  <si>
    <t>%        7=6/5</t>
  </si>
  <si>
    <t>Crt</t>
  </si>
  <si>
    <t>Aprobat</t>
  </si>
  <si>
    <t>Realizat</t>
  </si>
  <si>
    <t>I.</t>
  </si>
  <si>
    <t>Venituri totale (rd.1+rd.2+rd.3), din care:</t>
  </si>
  <si>
    <t xml:space="preserve">Venituri din exploatare </t>
  </si>
  <si>
    <t>2.</t>
  </si>
  <si>
    <t xml:space="preserve"> CONDUCĂTORUL UNITĂŢII, </t>
  </si>
  <si>
    <t>ec.Aluas Aurelia</t>
  </si>
  <si>
    <t>Anexa nr.4</t>
  </si>
  <si>
    <t>Sediul/Adresa: CALEA MOLDOVEI NR.9A</t>
  </si>
  <si>
    <t xml:space="preserve">Programul de investiţii, dotări şi sursele de finanţare  </t>
  </si>
  <si>
    <t>Data finalizării investiţiei</t>
  </si>
  <si>
    <t>an precedent (N-1)</t>
  </si>
  <si>
    <t>Valoare</t>
  </si>
  <si>
    <t>Surse proprii, din care:</t>
  </si>
  <si>
    <t>a) - amortizare</t>
  </si>
  <si>
    <t>c)- rezerve-profit ani anteriori</t>
  </si>
  <si>
    <t>Credite bancare, din care:</t>
  </si>
  <si>
    <t>a) - interne</t>
  </si>
  <si>
    <t>b) - externe</t>
  </si>
  <si>
    <t>Alte surse, din care:</t>
  </si>
  <si>
    <t>(denumire sursa)</t>
  </si>
  <si>
    <t>- (denumire sursă)</t>
  </si>
  <si>
    <t>CHELTUIELI PENTRU INVESTIŢII, din care:</t>
  </si>
  <si>
    <t>Investiţii în curs, din care:</t>
  </si>
  <si>
    <t>a) pentru bunurile proprietatea privată a operatorului economic:</t>
  </si>
  <si>
    <t>- (denumire obiectiv)</t>
  </si>
  <si>
    <t>b) pentru bunurile de natura domeniului public al statului sau al unităţii administrativ teritoriale:</t>
  </si>
  <si>
    <t>c) pentru bunurile de natura domeniului privat al statului sau al unităţii administrativ teritoriale:</t>
  </si>
  <si>
    <t>d) pentru bunurile luate în concesiune, închiriate sau în locaţie de gestiune, exclusiv cele din domeniul public sau privat al statului sau al unităţii administrativ teritoriale:</t>
  </si>
  <si>
    <t>Investiţii noi, din care:</t>
  </si>
  <si>
    <t>a) pentru bunurile proprietatea privata a operatorului economic:</t>
  </si>
  <si>
    <t>Motounealta 1 buc</t>
  </si>
  <si>
    <t>Motoferastrau 1 buc</t>
  </si>
  <si>
    <t>Tomograf de diagnoza pentru arborii urbani</t>
  </si>
  <si>
    <t>d) pentru bunurile luate în concesiune, închiriate sau în locaţie de gestiune, exclusiv cele din domeniul public sau privat al statului sau al unităţi administrativ teritoriale:</t>
  </si>
  <si>
    <t>Investiţii efectuate la imobilizările corporale existente (modernizări), din care:</t>
  </si>
  <si>
    <t xml:space="preserve">Bransament gaz si extindere rete sediu OSM RA </t>
  </si>
  <si>
    <t>Bransament electric  sediu OSM RA</t>
  </si>
  <si>
    <t>Dotări (alte achiziţii de imobilizări corporale] -</t>
  </si>
  <si>
    <t>Rambursări de rate aferente creditelor pentru investiţii, din care:</t>
  </si>
  <si>
    <t>ec. Aluas Aurelia</t>
  </si>
  <si>
    <t>Anexa nr.5</t>
  </si>
  <si>
    <t>Sediul/Adresa: Vasile lupu NR.16 A</t>
  </si>
  <si>
    <t>Măsuri de îmbunătăţire a rezultatului brut şi reducere a platilor restante</t>
  </si>
  <si>
    <t>Nr.crt.</t>
  </si>
  <si>
    <t>Măsuri</t>
  </si>
  <si>
    <t>Termen de realizare</t>
  </si>
  <si>
    <t>an precedent (N - 1)</t>
  </si>
  <si>
    <t>an curent (N)</t>
  </si>
  <si>
    <t>an N + 1</t>
  </si>
  <si>
    <t>an N + 2</t>
  </si>
  <si>
    <t>Preliminat/Realizat</t>
  </si>
  <si>
    <t>Influenţe (+/-)</t>
  </si>
  <si>
    <t>Rezultat brut (+/-)</t>
  </si>
  <si>
    <t>Rezultat brut</t>
  </si>
  <si>
    <t>Pct.I</t>
  </si>
  <si>
    <t>Măsura 1…………………………</t>
  </si>
  <si>
    <t>Măsura 2……………………………</t>
  </si>
  <si>
    <t>Masura n……………………………..</t>
  </si>
  <si>
    <t>TOTAL Pct. I</t>
  </si>
  <si>
    <t>Pct.II</t>
  </si>
  <si>
    <t>Cauze care diminuează efectul măsurilor prevăzute la Pct. I</t>
  </si>
  <si>
    <t>Cauza 1 . . . . . . . . . . . . . . . . . . . . . . . . .</t>
  </si>
  <si>
    <t>Cauza 2 . . . . . . . . . . . . . . . . . . . . . . . . .</t>
  </si>
  <si>
    <t>Cauza n………………..</t>
  </si>
  <si>
    <t>TOTAL Pct. II</t>
  </si>
  <si>
    <t>Pct.III</t>
  </si>
  <si>
    <t>TOTAL GENERAL Pct. I + Pct. II</t>
  </si>
  <si>
    <t>Evaluare de Mediu Pentru Amenajare U.P. I B-TA</t>
  </si>
  <si>
    <t xml:space="preserve">Revizuire Amenajare Silvica U.P. I B-TA Conform Ordinului NR.1947/26.10.2021 </t>
  </si>
  <si>
    <t>Intocmire Amenajament Silvic  U.P. I B-TA</t>
  </si>
  <si>
    <t>a Consiliului local al municipiului Bistrita</t>
  </si>
  <si>
    <t>a Consiliului Local al municipiului Bistrita</t>
  </si>
  <si>
    <t>Propuneri an curent (N)</t>
  </si>
  <si>
    <t xml:space="preserve">Propuneri </t>
  </si>
  <si>
    <t>an</t>
  </si>
  <si>
    <t>Tractor cu incarcator frontal</t>
  </si>
  <si>
    <t>Remorca tractor de incarcator cu graifer</t>
  </si>
  <si>
    <t>Semiremorca tractor</t>
  </si>
  <si>
    <t>b) - profit realizat 2022 cota 50%</t>
  </si>
  <si>
    <t>Realizat 2022</t>
  </si>
  <si>
    <t>Aprobat 2023</t>
  </si>
  <si>
    <t>TOTAL       AN 2024</t>
  </si>
  <si>
    <t>Preliminat / Realizat  2023</t>
  </si>
  <si>
    <t>Estimări an N + 1    2025</t>
  </si>
  <si>
    <t>Estimări an N + 2   2026</t>
  </si>
  <si>
    <t>Realizat / Preliminat 2023</t>
  </si>
  <si>
    <t>an curent (N) 2024</t>
  </si>
  <si>
    <t>N + 1  2025</t>
  </si>
  <si>
    <t>N + 2 2026</t>
  </si>
  <si>
    <t>pentru anul 2024</t>
  </si>
  <si>
    <t>la Hotararea nr.____/____.___.2024</t>
  </si>
  <si>
    <t>la Hotararea nr.___/____.____.2024</t>
  </si>
  <si>
    <t>la Hotararea nr. ___/____.____.2024</t>
  </si>
  <si>
    <t>la Hotararea nr. ____ /____ .____.2024</t>
  </si>
  <si>
    <t>PE AN  2024  SI  ESTIMAT  2025 - 2026</t>
  </si>
  <si>
    <t xml:space="preserve">Detalierea indicatorilor economico - financiari prevăzuţi în bugetul de venituri şi cheltuieli </t>
  </si>
  <si>
    <t>Realizat / Preliminat an precedent            (N-1)          2023</t>
  </si>
  <si>
    <t>Propuneri an curent            (N)                2024</t>
  </si>
  <si>
    <t>Sef Ocol Silvic</t>
  </si>
  <si>
    <t>Contafil sef</t>
  </si>
  <si>
    <t>Contabil Sef</t>
  </si>
  <si>
    <t xml:space="preserve">Contabil Sef </t>
  </si>
  <si>
    <t>CONDUCĂTORUL COMPARTIMENTULUI FINANCIAR-CONTABIL</t>
  </si>
  <si>
    <t>la Hotararea  nr. ____/____.____.2024</t>
  </si>
  <si>
    <t xml:space="preserve"> BUGETUL  DE VENITURI ŞI CHELTUIELI  BISTRITA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</si>
</sst>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"/>
      <family val="2"/>
    </font>
    <font>
      <sz val="12"/>
      <color indexed="63"/>
      <name val="Arial"/>
      <family val="2"/>
    </font>
    <font>
      <sz val="12"/>
      <name val="Arial"/>
      <family val="2"/>
    </font>
    <font>
      <b/>
      <sz val="12"/>
      <name val="Arial"/>
      <family val="2"/>
      <charset val="238"/>
    </font>
    <font>
      <b/>
      <sz val="12"/>
      <color rgb="FF00B050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0"/>
      <name val="Arial"/>
      <family val="2"/>
      <charset val="238"/>
    </font>
    <font>
      <sz val="12"/>
      <color indexed="8"/>
      <name val="Inherit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2" fillId="3" borderId="0" xfId="0" applyFont="1" applyFill="1"/>
    <xf numFmtId="0" fontId="2" fillId="2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3" fillId="5" borderId="0" xfId="0" applyFont="1" applyFill="1" applyProtection="1">
      <protection locked="0"/>
    </xf>
    <xf numFmtId="0" fontId="5" fillId="0" borderId="15" xfId="0" applyFont="1" applyBorder="1" applyAlignment="1">
      <alignment horizontal="center" vertical="top" wrapText="1"/>
    </xf>
    <xf numFmtId="2" fontId="5" fillId="0" borderId="15" xfId="0" applyNumberFormat="1" applyFont="1" applyBorder="1" applyAlignment="1">
      <alignment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6" xfId="0" applyFont="1" applyBorder="1" applyAlignment="1">
      <alignment vertical="top" wrapText="1"/>
    </xf>
    <xf numFmtId="0" fontId="2" fillId="0" borderId="16" xfId="0" applyFont="1" applyBorder="1"/>
    <xf numFmtId="2" fontId="5" fillId="0" borderId="16" xfId="0" applyNumberFormat="1" applyFont="1" applyBorder="1" applyAlignment="1">
      <alignment vertical="top" wrapText="1"/>
    </xf>
    <xf numFmtId="0" fontId="5" fillId="0" borderId="17" xfId="0" applyFont="1" applyBorder="1" applyAlignment="1">
      <alignment horizontal="center" vertical="top" wrapText="1"/>
    </xf>
    <xf numFmtId="2" fontId="5" fillId="0" borderId="17" xfId="0" applyNumberFormat="1" applyFont="1" applyBorder="1" applyAlignment="1">
      <alignment vertical="top" wrapText="1"/>
    </xf>
    <xf numFmtId="0" fontId="7" fillId="4" borderId="12" xfId="0" applyFont="1" applyFill="1" applyBorder="1" applyAlignment="1">
      <alignment horizontal="center" vertical="top" wrapText="1"/>
    </xf>
    <xf numFmtId="0" fontId="7" fillId="4" borderId="13" xfId="0" applyFont="1" applyFill="1" applyBorder="1" applyAlignment="1">
      <alignment horizontal="center" vertical="top" wrapText="1"/>
    </xf>
    <xf numFmtId="2" fontId="7" fillId="4" borderId="13" xfId="0" applyNumberFormat="1" applyFont="1" applyFill="1" applyBorder="1" applyAlignment="1">
      <alignment vertical="top" wrapText="1"/>
    </xf>
    <xf numFmtId="0" fontId="6" fillId="5" borderId="0" xfId="0" applyFont="1" applyFill="1" applyProtection="1">
      <protection locked="0"/>
    </xf>
    <xf numFmtId="2" fontId="5" fillId="3" borderId="17" xfId="0" applyNumberFormat="1" applyFont="1" applyFill="1" applyBorder="1" applyAlignment="1">
      <alignment vertical="top" wrapText="1"/>
    </xf>
    <xf numFmtId="0" fontId="5" fillId="8" borderId="12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vertical="top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top"/>
    </xf>
    <xf numFmtId="0" fontId="5" fillId="0" borderId="16" xfId="0" applyFont="1" applyBorder="1" applyAlignment="1">
      <alignment vertical="center" wrapText="1"/>
    </xf>
    <xf numFmtId="0" fontId="7" fillId="4" borderId="16" xfId="0" applyFont="1" applyFill="1" applyBorder="1" applyAlignment="1">
      <alignment horizontal="center" vertical="top" wrapText="1"/>
    </xf>
    <xf numFmtId="2" fontId="7" fillId="4" borderId="16" xfId="0" applyNumberFormat="1" applyFont="1" applyFill="1" applyBorder="1" applyAlignment="1">
      <alignment horizontal="right" vertical="top" wrapText="1"/>
    </xf>
    <xf numFmtId="2" fontId="7" fillId="4" borderId="16" xfId="0" applyNumberFormat="1" applyFont="1" applyFill="1" applyBorder="1" applyAlignment="1">
      <alignment vertical="top" wrapText="1"/>
    </xf>
    <xf numFmtId="0" fontId="7" fillId="4" borderId="16" xfId="0" applyFont="1" applyFill="1" applyBorder="1" applyAlignment="1">
      <alignment vertical="top" wrapText="1"/>
    </xf>
    <xf numFmtId="2" fontId="5" fillId="4" borderId="16" xfId="0" applyNumberFormat="1" applyFont="1" applyFill="1" applyBorder="1" applyAlignment="1">
      <alignment vertical="top" wrapText="1"/>
    </xf>
    <xf numFmtId="0" fontId="6" fillId="8" borderId="0" xfId="0" applyFont="1" applyFill="1"/>
    <xf numFmtId="0" fontId="8" fillId="3" borderId="0" xfId="0" applyFont="1" applyFill="1"/>
    <xf numFmtId="0" fontId="5" fillId="3" borderId="16" xfId="0" applyFont="1" applyFill="1" applyBorder="1" applyAlignment="1">
      <alignment horizontal="center" vertical="top" wrapText="1"/>
    </xf>
    <xf numFmtId="2" fontId="5" fillId="3" borderId="16" xfId="0" applyNumberFormat="1" applyFont="1" applyFill="1" applyBorder="1" applyAlignment="1">
      <alignment horizontal="right" vertical="top" wrapText="1"/>
    </xf>
    <xf numFmtId="2" fontId="5" fillId="3" borderId="16" xfId="0" applyNumberFormat="1" applyFont="1" applyFill="1" applyBorder="1" applyAlignment="1">
      <alignment vertical="top" wrapText="1"/>
    </xf>
    <xf numFmtId="0" fontId="6" fillId="3" borderId="0" xfId="0" applyFont="1" applyFill="1"/>
    <xf numFmtId="0" fontId="6" fillId="0" borderId="0" xfId="0" applyFont="1"/>
    <xf numFmtId="0" fontId="5" fillId="4" borderId="16" xfId="0" applyFont="1" applyFill="1" applyBorder="1" applyAlignment="1">
      <alignment horizontal="center" vertical="top" wrapText="1"/>
    </xf>
    <xf numFmtId="0" fontId="2" fillId="8" borderId="0" xfId="0" applyFont="1" applyFill="1"/>
    <xf numFmtId="2" fontId="5" fillId="4" borderId="16" xfId="0" applyNumberFormat="1" applyFont="1" applyFill="1" applyBorder="1" applyAlignment="1">
      <alignment horizontal="center" vertical="top" wrapText="1"/>
    </xf>
    <xf numFmtId="2" fontId="5" fillId="0" borderId="16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2" fontId="5" fillId="0" borderId="16" xfId="0" applyNumberFormat="1" applyFont="1" applyBorder="1" applyAlignment="1">
      <alignment horizontal="right" vertical="top" wrapText="1"/>
    </xf>
    <xf numFmtId="0" fontId="2" fillId="2" borderId="0" xfId="0" applyFont="1" applyFill="1" applyAlignment="1" applyProtection="1">
      <alignment wrapText="1"/>
      <protection locked="0"/>
    </xf>
    <xf numFmtId="0" fontId="3" fillId="3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0" fontId="6" fillId="2" borderId="0" xfId="0" applyFont="1" applyFill="1" applyAlignment="1" applyProtection="1">
      <alignment wrapText="1"/>
      <protection locked="0"/>
    </xf>
    <xf numFmtId="0" fontId="6" fillId="3" borderId="0" xfId="0" applyFont="1" applyFill="1" applyProtection="1"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 wrapText="1"/>
      <protection locked="0"/>
    </xf>
    <xf numFmtId="0" fontId="3" fillId="3" borderId="0" xfId="0" applyFont="1" applyFill="1" applyAlignment="1" applyProtection="1">
      <alignment horizontal="left" wrapText="1"/>
      <protection locked="0"/>
    </xf>
    <xf numFmtId="4" fontId="2" fillId="0" borderId="0" xfId="0" applyNumberFormat="1" applyFont="1" applyAlignment="1">
      <alignment horizontal="right"/>
    </xf>
    <xf numFmtId="2" fontId="2" fillId="0" borderId="0" xfId="0" applyNumberFormat="1" applyFont="1"/>
    <xf numFmtId="0" fontId="6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2" fontId="6" fillId="4" borderId="16" xfId="0" applyNumberFormat="1" applyFont="1" applyFill="1" applyBorder="1" applyAlignment="1">
      <alignment vertical="top" wrapText="1"/>
    </xf>
    <xf numFmtId="0" fontId="6" fillId="4" borderId="0" xfId="0" applyFont="1" applyFill="1"/>
    <xf numFmtId="2" fontId="2" fillId="0" borderId="16" xfId="0" applyNumberFormat="1" applyFont="1" applyBorder="1" applyAlignment="1">
      <alignment vertical="top" wrapText="1"/>
    </xf>
    <xf numFmtId="0" fontId="2" fillId="4" borderId="0" xfId="0" applyFont="1" applyFill="1"/>
    <xf numFmtId="2" fontId="2" fillId="4" borderId="16" xfId="0" applyNumberFormat="1" applyFont="1" applyFill="1" applyBorder="1" applyAlignment="1">
      <alignment vertical="top" wrapText="1"/>
    </xf>
    <xf numFmtId="2" fontId="6" fillId="4" borderId="0" xfId="0" applyNumberFormat="1" applyFont="1" applyFill="1"/>
    <xf numFmtId="0" fontId="6" fillId="4" borderId="16" xfId="0" applyFont="1" applyFill="1" applyBorder="1" applyAlignment="1">
      <alignment horizontal="center" vertical="top" wrapText="1"/>
    </xf>
    <xf numFmtId="2" fontId="6" fillId="4" borderId="16" xfId="0" applyNumberFormat="1" applyFont="1" applyFill="1" applyBorder="1" applyAlignment="1">
      <alignment horizontal="right" vertical="top" wrapText="1"/>
    </xf>
    <xf numFmtId="0" fontId="2" fillId="0" borderId="16" xfId="0" applyFont="1" applyBorder="1" applyAlignment="1">
      <alignment horizontal="center" vertical="top" wrapText="1"/>
    </xf>
    <xf numFmtId="2" fontId="6" fillId="0" borderId="16" xfId="0" applyNumberFormat="1" applyFont="1" applyBorder="1" applyAlignment="1">
      <alignment horizontal="right" vertical="top" wrapText="1"/>
    </xf>
    <xf numFmtId="2" fontId="6" fillId="3" borderId="16" xfId="0" applyNumberFormat="1" applyFont="1" applyFill="1" applyBorder="1" applyAlignment="1">
      <alignment horizontal="right" vertical="top" wrapText="1"/>
    </xf>
    <xf numFmtId="0" fontId="6" fillId="4" borderId="16" xfId="0" applyFont="1" applyFill="1" applyBorder="1" applyAlignment="1">
      <alignment horizontal="left" vertical="top" wrapText="1"/>
    </xf>
    <xf numFmtId="0" fontId="2" fillId="4" borderId="16" xfId="0" applyFont="1" applyFill="1" applyBorder="1" applyAlignment="1">
      <alignment horizontal="center" vertical="top" wrapText="1"/>
    </xf>
    <xf numFmtId="2" fontId="6" fillId="0" borderId="16" xfId="0" applyNumberFormat="1" applyFont="1" applyBorder="1" applyAlignment="1">
      <alignment vertical="top" wrapText="1"/>
    </xf>
    <xf numFmtId="2" fontId="2" fillId="3" borderId="16" xfId="0" applyNumberFormat="1" applyFont="1" applyFill="1" applyBorder="1" applyAlignment="1">
      <alignment vertical="top" wrapText="1"/>
    </xf>
    <xf numFmtId="1" fontId="2" fillId="0" borderId="16" xfId="0" applyNumberFormat="1" applyFont="1" applyBorder="1" applyAlignment="1">
      <alignment vertical="top" wrapText="1"/>
    </xf>
    <xf numFmtId="4" fontId="2" fillId="10" borderId="0" xfId="0" applyNumberFormat="1" applyFont="1" applyFill="1" applyAlignment="1">
      <alignment horizontal="right"/>
    </xf>
    <xf numFmtId="2" fontId="2" fillId="11" borderId="0" xfId="0" applyNumberFormat="1" applyFont="1" applyFill="1"/>
    <xf numFmtId="0" fontId="6" fillId="12" borderId="0" xfId="0" applyFont="1" applyFill="1"/>
    <xf numFmtId="0" fontId="2" fillId="6" borderId="0" xfId="0" applyFont="1" applyFill="1"/>
    <xf numFmtId="0" fontId="6" fillId="9" borderId="0" xfId="0" applyFont="1" applyFill="1"/>
    <xf numFmtId="0" fontId="6" fillId="0" borderId="0" xfId="0" applyFont="1" applyAlignment="1">
      <alignment horizontal="right"/>
    </xf>
    <xf numFmtId="0" fontId="5" fillId="2" borderId="16" xfId="0" applyFont="1" applyFill="1" applyBorder="1" applyAlignment="1">
      <alignment horizontal="left" vertical="top" wrapText="1"/>
    </xf>
    <xf numFmtId="4" fontId="2" fillId="0" borderId="16" xfId="0" applyNumberFormat="1" applyFont="1" applyBorder="1"/>
    <xf numFmtId="2" fontId="2" fillId="0" borderId="16" xfId="0" applyNumberFormat="1" applyFont="1" applyBorder="1" applyAlignment="1">
      <alignment horizontal="center"/>
    </xf>
    <xf numFmtId="49" fontId="5" fillId="0" borderId="16" xfId="0" applyNumberFormat="1" applyFont="1" applyBorder="1" applyAlignment="1">
      <alignment horizontal="left" vertical="top" wrapText="1"/>
    </xf>
    <xf numFmtId="4" fontId="2" fillId="3" borderId="0" xfId="0" applyNumberFormat="1" applyFont="1" applyFill="1"/>
    <xf numFmtId="0" fontId="2" fillId="3" borderId="0" xfId="0" applyFont="1" applyFill="1" applyAlignment="1">
      <alignment vertical="center"/>
    </xf>
    <xf numFmtId="1" fontId="2" fillId="3" borderId="16" xfId="0" applyNumberFormat="1" applyFont="1" applyFill="1" applyBorder="1" applyAlignment="1">
      <alignment horizontal="center" wrapText="1"/>
    </xf>
    <xf numFmtId="1" fontId="2" fillId="3" borderId="0" xfId="0" applyNumberFormat="1" applyFont="1" applyFill="1"/>
    <xf numFmtId="0" fontId="2" fillId="8" borderId="16" xfId="0" applyFont="1" applyFill="1" applyBorder="1" applyAlignment="1">
      <alignment horizontal="center" wrapText="1"/>
    </xf>
    <xf numFmtId="0" fontId="6" fillId="8" borderId="16" xfId="0" applyFont="1" applyFill="1" applyBorder="1" applyAlignment="1">
      <alignment horizontal="center" wrapText="1"/>
    </xf>
    <xf numFmtId="0" fontId="6" fillId="8" borderId="16" xfId="0" applyFont="1" applyFill="1" applyBorder="1" applyAlignment="1">
      <alignment wrapText="1"/>
    </xf>
    <xf numFmtId="4" fontId="6" fillId="8" borderId="16" xfId="0" applyNumberFormat="1" applyFont="1" applyFill="1" applyBorder="1" applyAlignment="1">
      <alignment wrapText="1"/>
    </xf>
    <xf numFmtId="2" fontId="6" fillId="8" borderId="16" xfId="0" applyNumberFormat="1" applyFont="1" applyFill="1" applyBorder="1" applyAlignment="1">
      <alignment wrapText="1"/>
    </xf>
    <xf numFmtId="0" fontId="2" fillId="3" borderId="16" xfId="0" applyFont="1" applyFill="1" applyBorder="1" applyAlignment="1">
      <alignment horizontal="center" wrapText="1"/>
    </xf>
    <xf numFmtId="0" fontId="6" fillId="3" borderId="16" xfId="0" applyFont="1" applyFill="1" applyBorder="1" applyAlignment="1">
      <alignment horizontal="center" wrapText="1"/>
    </xf>
    <xf numFmtId="0" fontId="6" fillId="3" borderId="16" xfId="0" applyFont="1" applyFill="1" applyBorder="1" applyAlignment="1">
      <alignment wrapText="1"/>
    </xf>
    <xf numFmtId="4" fontId="6" fillId="3" borderId="16" xfId="0" applyNumberFormat="1" applyFont="1" applyFill="1" applyBorder="1" applyAlignment="1">
      <alignment wrapText="1"/>
    </xf>
    <xf numFmtId="0" fontId="2" fillId="3" borderId="16" xfId="0" applyFont="1" applyFill="1" applyBorder="1" applyAlignment="1">
      <alignment wrapText="1"/>
    </xf>
    <xf numFmtId="0" fontId="2" fillId="8" borderId="16" xfId="0" applyFont="1" applyFill="1" applyBorder="1" applyAlignment="1">
      <alignment wrapText="1"/>
    </xf>
    <xf numFmtId="4" fontId="2" fillId="3" borderId="16" xfId="0" applyNumberFormat="1" applyFont="1" applyFill="1" applyBorder="1" applyAlignment="1">
      <alignment wrapText="1"/>
    </xf>
    <xf numFmtId="0" fontId="2" fillId="3" borderId="16" xfId="0" applyFont="1" applyFill="1" applyBorder="1"/>
    <xf numFmtId="0" fontId="6" fillId="3" borderId="16" xfId="0" applyFont="1" applyFill="1" applyBorder="1"/>
    <xf numFmtId="4" fontId="6" fillId="0" borderId="16" xfId="0" applyNumberFormat="1" applyFont="1" applyBorder="1" applyAlignment="1">
      <alignment wrapText="1"/>
    </xf>
    <xf numFmtId="0" fontId="2" fillId="3" borderId="17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wrapText="1"/>
    </xf>
    <xf numFmtId="0" fontId="2" fillId="3" borderId="15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wrapText="1"/>
    </xf>
    <xf numFmtId="4" fontId="2" fillId="8" borderId="16" xfId="0" applyNumberFormat="1" applyFont="1" applyFill="1" applyBorder="1" applyAlignment="1">
      <alignment wrapText="1"/>
    </xf>
    <xf numFmtId="0" fontId="12" fillId="0" borderId="0" xfId="0" applyFont="1" applyAlignment="1">
      <alignment wrapText="1"/>
    </xf>
    <xf numFmtId="0" fontId="5" fillId="0" borderId="16" xfId="0" applyFont="1" applyBorder="1" applyAlignment="1">
      <alignment horizontal="center" wrapText="1"/>
    </xf>
    <xf numFmtId="0" fontId="5" fillId="0" borderId="16" xfId="0" applyFont="1" applyBorder="1" applyAlignment="1">
      <alignment wrapText="1"/>
    </xf>
    <xf numFmtId="0" fontId="7" fillId="0" borderId="6" xfId="0" applyFont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6" xfId="0" applyNumberFormat="1" applyFont="1" applyBorder="1" applyAlignment="1">
      <alignment horizont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left" wrapText="1"/>
    </xf>
    <xf numFmtId="4" fontId="2" fillId="0" borderId="16" xfId="0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4" fontId="6" fillId="7" borderId="16" xfId="0" applyNumberFormat="1" applyFont="1" applyFill="1" applyBorder="1" applyAlignment="1">
      <alignment wrapText="1"/>
    </xf>
    <xf numFmtId="2" fontId="2" fillId="7" borderId="16" xfId="0" applyNumberFormat="1" applyFont="1" applyFill="1" applyBorder="1" applyAlignment="1">
      <alignment wrapText="1"/>
    </xf>
    <xf numFmtId="4" fontId="2" fillId="7" borderId="16" xfId="0" applyNumberFormat="1" applyFont="1" applyFill="1" applyBorder="1" applyAlignment="1">
      <alignment wrapText="1"/>
    </xf>
    <xf numFmtId="4" fontId="2" fillId="7" borderId="17" xfId="0" applyNumberFormat="1" applyFont="1" applyFill="1" applyBorder="1" applyAlignment="1">
      <alignment wrapText="1"/>
    </xf>
    <xf numFmtId="4" fontId="2" fillId="7" borderId="15" xfId="0" applyNumberFormat="1" applyFont="1" applyFill="1" applyBorder="1" applyAlignment="1">
      <alignment wrapText="1"/>
    </xf>
    <xf numFmtId="0" fontId="6" fillId="0" borderId="16" xfId="0" applyFont="1" applyBorder="1" applyAlignment="1">
      <alignment wrapText="1"/>
    </xf>
    <xf numFmtId="2" fontId="6" fillId="4" borderId="15" xfId="0" applyNumberFormat="1" applyFont="1" applyFill="1" applyBorder="1" applyAlignment="1">
      <alignment vertical="top" wrapText="1"/>
    </xf>
    <xf numFmtId="2" fontId="6" fillId="8" borderId="16" xfId="0" applyNumberFormat="1" applyFont="1" applyFill="1" applyBorder="1" applyAlignment="1">
      <alignment vertical="top" wrapText="1"/>
    </xf>
    <xf numFmtId="0" fontId="15" fillId="0" borderId="23" xfId="0" applyFont="1" applyBorder="1" applyAlignment="1">
      <alignment horizontal="center" vertical="center" wrapText="1"/>
    </xf>
    <xf numFmtId="0" fontId="16" fillId="0" borderId="0" xfId="0" applyFont="1"/>
    <xf numFmtId="0" fontId="15" fillId="0" borderId="15" xfId="0" applyFont="1" applyBorder="1" applyAlignment="1">
      <alignment horizontal="center" wrapText="1"/>
    </xf>
    <xf numFmtId="2" fontId="15" fillId="4" borderId="16" xfId="0" applyNumberFormat="1" applyFont="1" applyFill="1" applyBorder="1" applyAlignment="1">
      <alignment vertical="top" wrapText="1"/>
    </xf>
    <xf numFmtId="2" fontId="15" fillId="7" borderId="16" xfId="0" applyNumberFormat="1" applyFont="1" applyFill="1" applyBorder="1" applyAlignment="1">
      <alignment vertical="top" wrapText="1"/>
    </xf>
    <xf numFmtId="2" fontId="16" fillId="7" borderId="16" xfId="0" applyNumberFormat="1" applyFont="1" applyFill="1" applyBorder="1" applyAlignment="1">
      <alignment vertical="top" wrapText="1"/>
    </xf>
    <xf numFmtId="1" fontId="15" fillId="7" borderId="16" xfId="0" applyNumberFormat="1" applyFont="1" applyFill="1" applyBorder="1" applyAlignment="1">
      <alignment vertical="top" wrapText="1"/>
    </xf>
    <xf numFmtId="0" fontId="16" fillId="7" borderId="0" xfId="0" applyFont="1" applyFill="1"/>
    <xf numFmtId="0" fontId="16" fillId="3" borderId="0" xfId="0" applyFont="1" applyFill="1" applyProtection="1">
      <protection locked="0"/>
    </xf>
    <xf numFmtId="0" fontId="15" fillId="3" borderId="0" xfId="0" applyFont="1" applyFill="1" applyProtection="1">
      <protection locked="0"/>
    </xf>
    <xf numFmtId="0" fontId="16" fillId="3" borderId="0" xfId="0" applyFont="1" applyFill="1" applyAlignment="1" applyProtection="1">
      <alignment horizontal="left" wrapText="1"/>
      <protection locked="0"/>
    </xf>
    <xf numFmtId="0" fontId="15" fillId="3" borderId="0" xfId="0" applyFont="1" applyFill="1" applyAlignment="1" applyProtection="1">
      <alignment horizontal="left" wrapText="1"/>
      <protection locked="0"/>
    </xf>
    <xf numFmtId="0" fontId="6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top" wrapText="1"/>
    </xf>
    <xf numFmtId="4" fontId="6" fillId="0" borderId="6" xfId="0" applyNumberFormat="1" applyFont="1" applyBorder="1" applyAlignment="1">
      <alignment horizontal="center" vertical="center" wrapText="1"/>
    </xf>
    <xf numFmtId="2" fontId="6" fillId="0" borderId="3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0" fontId="6" fillId="3" borderId="16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 wrapText="1"/>
    </xf>
    <xf numFmtId="0" fontId="2" fillId="3" borderId="16" xfId="0" applyFont="1" applyFill="1" applyBorder="1" applyAlignment="1">
      <alignment vertical="top" wrapText="1"/>
    </xf>
    <xf numFmtId="2" fontId="6" fillId="3" borderId="16" xfId="0" applyNumberFormat="1" applyFont="1" applyFill="1" applyBorder="1" applyAlignment="1">
      <alignment vertical="top" wrapText="1"/>
    </xf>
    <xf numFmtId="0" fontId="6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/>
    </xf>
    <xf numFmtId="0" fontId="2" fillId="3" borderId="16" xfId="0" applyFont="1" applyFill="1" applyBorder="1" applyAlignment="1">
      <alignment horizontal="left" vertical="top" wrapText="1"/>
    </xf>
    <xf numFmtId="1" fontId="2" fillId="0" borderId="16" xfId="0" applyNumberFormat="1" applyFont="1" applyBorder="1" applyAlignment="1">
      <alignment horizontal="center" vertical="top" wrapText="1"/>
    </xf>
    <xf numFmtId="1" fontId="6" fillId="0" borderId="16" xfId="0" applyNumberFormat="1" applyFont="1" applyBorder="1" applyAlignment="1">
      <alignment vertical="top" wrapText="1"/>
    </xf>
    <xf numFmtId="2" fontId="6" fillId="8" borderId="15" xfId="0" applyNumberFormat="1" applyFont="1" applyFill="1" applyBorder="1" applyAlignment="1">
      <alignment vertical="top" wrapText="1"/>
    </xf>
    <xf numFmtId="2" fontId="2" fillId="8" borderId="16" xfId="0" applyNumberFormat="1" applyFont="1" applyFill="1" applyBorder="1" applyAlignment="1">
      <alignment vertical="top" wrapText="1"/>
    </xf>
    <xf numFmtId="2" fontId="6" fillId="12" borderId="16" xfId="0" applyNumberFormat="1" applyFont="1" applyFill="1" applyBorder="1" applyAlignment="1">
      <alignment vertical="top" wrapText="1"/>
    </xf>
    <xf numFmtId="2" fontId="2" fillId="12" borderId="16" xfId="0" applyNumberFormat="1" applyFont="1" applyFill="1" applyBorder="1" applyAlignment="1">
      <alignment vertical="top" wrapText="1"/>
    </xf>
    <xf numFmtId="1" fontId="6" fillId="12" borderId="16" xfId="0" applyNumberFormat="1" applyFont="1" applyFill="1" applyBorder="1" applyAlignment="1">
      <alignment vertical="top" wrapText="1"/>
    </xf>
    <xf numFmtId="2" fontId="6" fillId="7" borderId="16" xfId="0" applyNumberFormat="1" applyFont="1" applyFill="1" applyBorder="1" applyAlignment="1">
      <alignment vertical="top" wrapText="1"/>
    </xf>
    <xf numFmtId="2" fontId="2" fillId="7" borderId="16" xfId="0" applyNumberFormat="1" applyFont="1" applyFill="1" applyBorder="1" applyAlignment="1">
      <alignment vertical="top" wrapText="1"/>
    </xf>
    <xf numFmtId="1" fontId="6" fillId="7" borderId="16" xfId="0" applyNumberFormat="1" applyFont="1" applyFill="1" applyBorder="1" applyAlignment="1">
      <alignment vertical="top" wrapText="1"/>
    </xf>
    <xf numFmtId="0" fontId="17" fillId="4" borderId="0" xfId="0" applyFont="1" applyFill="1"/>
    <xf numFmtId="2" fontId="2" fillId="0" borderId="16" xfId="0" applyNumberFormat="1" applyFont="1" applyBorder="1" applyAlignment="1">
      <alignment wrapText="1"/>
    </xf>
    <xf numFmtId="4" fontId="2" fillId="0" borderId="16" xfId="0" applyNumberFormat="1" applyFont="1" applyBorder="1" applyAlignment="1">
      <alignment wrapText="1"/>
    </xf>
    <xf numFmtId="4" fontId="2" fillId="0" borderId="17" xfId="0" applyNumberFormat="1" applyFont="1" applyBorder="1" applyAlignment="1">
      <alignment wrapText="1"/>
    </xf>
    <xf numFmtId="4" fontId="2" fillId="0" borderId="15" xfId="0" applyNumberFormat="1" applyFont="1" applyBorder="1" applyAlignment="1">
      <alignment wrapText="1"/>
    </xf>
    <xf numFmtId="4" fontId="6" fillId="6" borderId="16" xfId="0" applyNumberFormat="1" applyFont="1" applyFill="1" applyBorder="1" applyAlignment="1">
      <alignment wrapText="1"/>
    </xf>
    <xf numFmtId="2" fontId="2" fillId="6" borderId="16" xfId="0" applyNumberFormat="1" applyFont="1" applyFill="1" applyBorder="1" applyAlignment="1">
      <alignment wrapText="1"/>
    </xf>
    <xf numFmtId="4" fontId="2" fillId="6" borderId="16" xfId="0" applyNumberFormat="1" applyFont="1" applyFill="1" applyBorder="1" applyAlignment="1">
      <alignment wrapText="1"/>
    </xf>
    <xf numFmtId="4" fontId="2" fillId="6" borderId="17" xfId="0" applyNumberFormat="1" applyFont="1" applyFill="1" applyBorder="1" applyAlignment="1">
      <alignment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2" fontId="7" fillId="4" borderId="13" xfId="0" applyNumberFormat="1" applyFont="1" applyFill="1" applyBorder="1" applyAlignment="1">
      <alignment horizontal="center" vertical="top" wrapText="1"/>
    </xf>
    <xf numFmtId="2" fontId="7" fillId="4" borderId="14" xfId="0" applyNumberFormat="1" applyFont="1" applyFill="1" applyBorder="1" applyAlignment="1">
      <alignment vertical="top" wrapText="1"/>
    </xf>
    <xf numFmtId="2" fontId="5" fillId="0" borderId="15" xfId="0" applyNumberFormat="1" applyFont="1" applyBorder="1" applyAlignment="1">
      <alignment horizontal="center" vertical="top" wrapText="1"/>
    </xf>
    <xf numFmtId="2" fontId="5" fillId="0" borderId="17" xfId="0" applyNumberFormat="1" applyFont="1" applyBorder="1" applyAlignment="1">
      <alignment horizontal="center" vertical="top" wrapText="1"/>
    </xf>
    <xf numFmtId="2" fontId="5" fillId="4" borderId="13" xfId="0" applyNumberFormat="1" applyFont="1" applyFill="1" applyBorder="1" applyAlignment="1">
      <alignment horizontal="center" vertical="top" wrapText="1"/>
    </xf>
    <xf numFmtId="2" fontId="6" fillId="7" borderId="15" xfId="0" applyNumberFormat="1" applyFont="1" applyFill="1" applyBorder="1" applyAlignment="1">
      <alignment vertical="top" wrapText="1"/>
    </xf>
    <xf numFmtId="2" fontId="6" fillId="7" borderId="17" xfId="0" applyNumberFormat="1" applyFont="1" applyFill="1" applyBorder="1" applyAlignment="1">
      <alignment vertical="top" wrapText="1"/>
    </xf>
    <xf numFmtId="2" fontId="7" fillId="7" borderId="15" xfId="0" applyNumberFormat="1" applyFont="1" applyFill="1" applyBorder="1" applyAlignment="1">
      <alignment vertical="top" wrapText="1"/>
    </xf>
    <xf numFmtId="2" fontId="7" fillId="7" borderId="16" xfId="0" applyNumberFormat="1" applyFont="1" applyFill="1" applyBorder="1" applyAlignment="1">
      <alignment vertical="top" wrapText="1"/>
    </xf>
    <xf numFmtId="2" fontId="7" fillId="7" borderId="17" xfId="0" applyNumberFormat="1" applyFont="1" applyFill="1" applyBorder="1" applyAlignment="1">
      <alignment vertical="top" wrapText="1"/>
    </xf>
    <xf numFmtId="2" fontId="5" fillId="7" borderId="16" xfId="0" applyNumberFormat="1" applyFont="1" applyFill="1" applyBorder="1" applyAlignment="1">
      <alignment vertical="top" wrapText="1"/>
    </xf>
    <xf numFmtId="2" fontId="5" fillId="7" borderId="16" xfId="0" applyNumberFormat="1" applyFont="1" applyFill="1" applyBorder="1" applyAlignment="1">
      <alignment horizontal="right" vertical="top" wrapText="1"/>
    </xf>
    <xf numFmtId="2" fontId="5" fillId="4" borderId="16" xfId="0" applyNumberFormat="1" applyFont="1" applyFill="1" applyBorder="1" applyAlignment="1">
      <alignment horizontal="right" vertical="top" wrapText="1"/>
    </xf>
    <xf numFmtId="1" fontId="5" fillId="7" borderId="16" xfId="0" applyNumberFormat="1" applyFont="1" applyFill="1" applyBorder="1" applyAlignment="1">
      <alignment vertical="top" wrapText="1"/>
    </xf>
    <xf numFmtId="2" fontId="5" fillId="0" borderId="10" xfId="0" applyNumberFormat="1" applyFont="1" applyBorder="1" applyAlignment="1">
      <alignment vertical="top" wrapText="1"/>
    </xf>
    <xf numFmtId="0" fontId="5" fillId="8" borderId="19" xfId="0" applyFont="1" applyFill="1" applyBorder="1" applyAlignment="1">
      <alignment vertical="top" wrapText="1"/>
    </xf>
    <xf numFmtId="0" fontId="2" fillId="4" borderId="12" xfId="0" applyFont="1" applyFill="1" applyBorder="1" applyAlignment="1">
      <alignment vertical="center"/>
    </xf>
    <xf numFmtId="0" fontId="5" fillId="4" borderId="13" xfId="0" applyFont="1" applyFill="1" applyBorder="1" applyAlignment="1">
      <alignment horizontal="center" vertical="top" wrapText="1"/>
    </xf>
    <xf numFmtId="2" fontId="2" fillId="4" borderId="19" xfId="0" applyNumberFormat="1" applyFont="1" applyFill="1" applyBorder="1" applyAlignment="1">
      <alignment vertical="top" wrapText="1"/>
    </xf>
    <xf numFmtId="2" fontId="5" fillId="4" borderId="13" xfId="0" applyNumberFormat="1" applyFont="1" applyFill="1" applyBorder="1" applyAlignment="1">
      <alignment vertical="top" wrapText="1"/>
    </xf>
    <xf numFmtId="2" fontId="5" fillId="4" borderId="14" xfId="0" applyNumberFormat="1" applyFont="1" applyFill="1" applyBorder="1" applyAlignment="1">
      <alignment vertical="top" wrapText="1"/>
    </xf>
    <xf numFmtId="2" fontId="5" fillId="4" borderId="19" xfId="0" applyNumberFormat="1" applyFont="1" applyFill="1" applyBorder="1" applyAlignment="1">
      <alignment vertical="top" wrapText="1"/>
    </xf>
    <xf numFmtId="2" fontId="5" fillId="7" borderId="15" xfId="0" applyNumberFormat="1" applyFont="1" applyFill="1" applyBorder="1" applyAlignment="1">
      <alignment vertical="top" wrapText="1"/>
    </xf>
    <xf numFmtId="2" fontId="5" fillId="12" borderId="15" xfId="0" applyNumberFormat="1" applyFont="1" applyFill="1" applyBorder="1" applyAlignment="1">
      <alignment vertical="top" wrapText="1"/>
    </xf>
    <xf numFmtId="2" fontId="5" fillId="12" borderId="16" xfId="0" applyNumberFormat="1" applyFont="1" applyFill="1" applyBorder="1" applyAlignment="1">
      <alignment vertical="top" wrapText="1"/>
    </xf>
    <xf numFmtId="2" fontId="5" fillId="12" borderId="17" xfId="0" applyNumberFormat="1" applyFont="1" applyFill="1" applyBorder="1" applyAlignment="1">
      <alignment vertical="top" wrapText="1"/>
    </xf>
    <xf numFmtId="2" fontId="2" fillId="12" borderId="17" xfId="0" applyNumberFormat="1" applyFont="1" applyFill="1" applyBorder="1" applyAlignment="1">
      <alignment vertical="top" wrapText="1"/>
    </xf>
    <xf numFmtId="2" fontId="2" fillId="12" borderId="15" xfId="0" applyNumberFormat="1" applyFont="1" applyFill="1" applyBorder="1" applyAlignment="1">
      <alignment vertical="top" wrapText="1"/>
    </xf>
    <xf numFmtId="2" fontId="5" fillId="12" borderId="16" xfId="0" applyNumberFormat="1" applyFont="1" applyFill="1" applyBorder="1" applyAlignment="1">
      <alignment horizontal="right" vertical="top" wrapText="1"/>
    </xf>
    <xf numFmtId="1" fontId="5" fillId="12" borderId="16" xfId="0" applyNumberFormat="1" applyFont="1" applyFill="1" applyBorder="1" applyAlignment="1">
      <alignment horizontal="right" vertical="top" wrapText="1"/>
    </xf>
    <xf numFmtId="0" fontId="2" fillId="3" borderId="0" xfId="0" applyFont="1" applyFill="1" applyProtection="1">
      <protection locked="0"/>
    </xf>
    <xf numFmtId="0" fontId="18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/>
    <xf numFmtId="2" fontId="5" fillId="4" borderId="15" xfId="0" applyNumberFormat="1" applyFont="1" applyFill="1" applyBorder="1" applyAlignment="1">
      <alignment vertical="top" wrapText="1"/>
    </xf>
    <xf numFmtId="2" fontId="7" fillId="4" borderId="16" xfId="0" applyNumberFormat="1" applyFont="1" applyFill="1" applyBorder="1" applyAlignment="1">
      <alignment horizontal="center" vertical="top" wrapText="1"/>
    </xf>
    <xf numFmtId="2" fontId="7" fillId="4" borderId="15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5" fillId="0" borderId="26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7" fillId="0" borderId="10" xfId="0" applyFont="1" applyBorder="1" applyAlignment="1">
      <alignment horizontal="center" wrapText="1"/>
    </xf>
    <xf numFmtId="0" fontId="6" fillId="0" borderId="10" xfId="0" applyFont="1" applyBorder="1"/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6" xfId="0" applyFont="1" applyBorder="1"/>
    <xf numFmtId="0" fontId="7" fillId="4" borderId="16" xfId="0" applyFont="1" applyFill="1" applyBorder="1" applyAlignment="1">
      <alignment vertical="top" wrapText="1"/>
    </xf>
    <xf numFmtId="0" fontId="6" fillId="4" borderId="16" xfId="0" applyFont="1" applyFill="1" applyBorder="1"/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/>
    </xf>
    <xf numFmtId="0" fontId="5" fillId="0" borderId="16" xfId="0" applyFont="1" applyBorder="1" applyAlignment="1">
      <alignment vertical="top" wrapText="1"/>
    </xf>
    <xf numFmtId="0" fontId="2" fillId="0" borderId="16" xfId="0" applyFont="1" applyBorder="1"/>
    <xf numFmtId="0" fontId="7" fillId="4" borderId="13" xfId="0" applyFont="1" applyFill="1" applyBorder="1" applyAlignment="1">
      <alignment vertical="top" wrapText="1"/>
    </xf>
    <xf numFmtId="0" fontId="6" fillId="4" borderId="13" xfId="0" applyFont="1" applyFill="1" applyBorder="1"/>
    <xf numFmtId="0" fontId="5" fillId="0" borderId="1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2" fillId="0" borderId="17" xfId="0" applyFont="1" applyBorder="1"/>
    <xf numFmtId="0" fontId="5" fillId="0" borderId="15" xfId="0" applyFont="1" applyBorder="1" applyAlignment="1">
      <alignment vertical="top" wrapText="1"/>
    </xf>
    <xf numFmtId="0" fontId="2" fillId="0" borderId="15" xfId="0" applyFont="1" applyBorder="1"/>
    <xf numFmtId="0" fontId="5" fillId="0" borderId="17" xfId="0" applyFont="1" applyBorder="1" applyAlignment="1">
      <alignment vertical="top" wrapText="1"/>
    </xf>
    <xf numFmtId="0" fontId="2" fillId="0" borderId="18" xfId="0" applyFont="1" applyBorder="1"/>
    <xf numFmtId="0" fontId="7" fillId="3" borderId="16" xfId="0" applyFont="1" applyFill="1" applyBorder="1" applyAlignment="1">
      <alignment vertical="top" wrapText="1"/>
    </xf>
    <xf numFmtId="0" fontId="6" fillId="3" borderId="16" xfId="0" applyFont="1" applyFill="1" applyBorder="1"/>
    <xf numFmtId="0" fontId="5" fillId="3" borderId="16" xfId="0" applyFont="1" applyFill="1" applyBorder="1" applyAlignment="1">
      <alignment horizontal="left" vertical="top" wrapText="1"/>
    </xf>
    <xf numFmtId="0" fontId="5" fillId="4" borderId="16" xfId="0" applyFont="1" applyFill="1" applyBorder="1" applyAlignment="1">
      <alignment vertical="top" wrapText="1"/>
    </xf>
    <xf numFmtId="0" fontId="2" fillId="4" borderId="16" xfId="0" applyFont="1" applyFill="1" applyBorder="1"/>
    <xf numFmtId="0" fontId="5" fillId="3" borderId="16" xfId="0" applyFont="1" applyFill="1" applyBorder="1" applyAlignment="1">
      <alignment vertical="top" wrapText="1"/>
    </xf>
    <xf numFmtId="0" fontId="2" fillId="3" borderId="16" xfId="0" applyFont="1" applyFill="1" applyBorder="1"/>
    <xf numFmtId="0" fontId="5" fillId="0" borderId="16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2" fillId="3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4" borderId="16" xfId="0" applyFont="1" applyFill="1" applyBorder="1" applyAlignment="1">
      <alignment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vertical="top" wrapText="1"/>
    </xf>
    <xf numFmtId="0" fontId="6" fillId="4" borderId="16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 wrapText="1"/>
    </xf>
    <xf numFmtId="0" fontId="2" fillId="3" borderId="16" xfId="0" applyFont="1" applyFill="1" applyBorder="1" applyAlignment="1">
      <alignment vertical="top" wrapText="1"/>
    </xf>
    <xf numFmtId="0" fontId="2" fillId="4" borderId="16" xfId="0" applyFont="1" applyFill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2" fillId="0" borderId="16" xfId="0" applyFont="1" applyBorder="1" applyAlignment="1">
      <alignment horizontal="left" vertical="top" wrapText="1"/>
    </xf>
    <xf numFmtId="0" fontId="2" fillId="3" borderId="16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center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9" fontId="6" fillId="0" borderId="16" xfId="0" applyNumberFormat="1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2" fillId="0" borderId="0" xfId="1" applyFont="1" applyAlignment="1">
      <alignment horizontal="center" vertical="top" wrapTex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wrapText="1"/>
    </xf>
    <xf numFmtId="0" fontId="2" fillId="3" borderId="27" xfId="0" applyFont="1" applyFill="1" applyBorder="1" applyAlignment="1">
      <alignment horizontal="right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4" fontId="2" fillId="3" borderId="17" xfId="0" applyNumberFormat="1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2" fillId="3" borderId="15" xfId="0" applyNumberFormat="1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9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4" fontId="2" fillId="3" borderId="0" xfId="0" applyNumberFormat="1" applyFont="1" applyFill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18" fillId="0" borderId="25" xfId="0" applyFont="1" applyBorder="1" applyAlignment="1">
      <alignment horizontal="center"/>
    </xf>
    <xf numFmtId="0" fontId="5" fillId="0" borderId="1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19" fillId="0" borderId="0" xfId="0" applyFont="1" applyAlignment="1">
      <alignment horizontal="center"/>
    </xf>
  </cellXfs>
  <cellStyles count="2">
    <cellStyle name="Normal" xfId="0" builtinId="0"/>
    <cellStyle name="Normal_Copy of Copy of BVC analitic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BVC%20%20%20%20AN%20%20%20%20%202022/BVC-CENTRALIZAT-AN-2022-OSM-RA-anexa-1_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get Centralizat  1"/>
      <sheetName val="Buget centralizat 2"/>
      <sheetName val="Buget centralizat  3"/>
      <sheetName val="Buget centralizat  4"/>
      <sheetName val="Buget centralizat  5"/>
      <sheetName val=" Bis.1"/>
      <sheetName val="Bis.2"/>
      <sheetName val="Bis.3"/>
      <sheetName val="Bis.4"/>
      <sheetName val="Bis.5"/>
      <sheetName val="liv1"/>
      <sheetName val="liv2"/>
      <sheetName val="liv3"/>
      <sheetName val="liv4"/>
      <sheetName val="liv5"/>
    </sheetNames>
    <sheetDataSet>
      <sheetData sheetId="0"/>
      <sheetData sheetId="1">
        <row r="162">
          <cell r="L16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3">
          <cell r="N33">
            <v>0</v>
          </cell>
        </row>
        <row r="38">
          <cell r="N38">
            <v>0</v>
          </cell>
          <cell r="O38">
            <v>0</v>
          </cell>
        </row>
        <row r="40">
          <cell r="G40">
            <v>0</v>
          </cell>
          <cell r="O40">
            <v>0</v>
          </cell>
        </row>
        <row r="47">
          <cell r="M47" t="str">
            <v>0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M123"/>
  <sheetViews>
    <sheetView tabSelected="1" view="pageBreakPreview" zoomScaleNormal="100" zoomScaleSheetLayoutView="100" workbookViewId="0">
      <selection activeCell="P14" sqref="P14"/>
    </sheetView>
  </sheetViews>
  <sheetFormatPr defaultColWidth="11.85546875" defaultRowHeight="18"/>
  <cols>
    <col min="1" max="1" width="4.140625" style="4" customWidth="1"/>
    <col min="2" max="2" width="3.85546875" style="4" customWidth="1"/>
    <col min="3" max="3" width="3.28515625" style="4" customWidth="1"/>
    <col min="4" max="4" width="5.42578125" style="4" customWidth="1"/>
    <col min="5" max="5" width="80" style="46" customWidth="1"/>
    <col min="6" max="6" width="7.42578125" style="4" customWidth="1"/>
    <col min="7" max="7" width="16.5703125" style="143" customWidth="1"/>
    <col min="8" max="8" width="16.85546875" style="144" customWidth="1"/>
    <col min="9" max="9" width="9.140625" style="47" customWidth="1"/>
    <col min="10" max="10" width="10.7109375" style="47" customWidth="1"/>
    <col min="11" max="11" width="11.5703125" style="47" customWidth="1"/>
    <col min="12" max="12" width="8.85546875" style="47" customWidth="1"/>
    <col min="13" max="13" width="9.5703125" style="47" customWidth="1"/>
    <col min="14" max="23" width="11.85546875" style="4"/>
    <col min="24" max="24" width="4.140625" style="4" customWidth="1"/>
    <col min="25" max="25" width="3.85546875" style="4" customWidth="1"/>
    <col min="26" max="26" width="3.28515625" style="4" customWidth="1"/>
    <col min="27" max="27" width="5.42578125" style="4" customWidth="1"/>
    <col min="28" max="28" width="80" style="4" customWidth="1"/>
    <col min="29" max="29" width="6.85546875" style="4" customWidth="1"/>
    <col min="30" max="30" width="18.7109375" style="4" customWidth="1"/>
    <col min="31" max="31" width="16.85546875" style="4" customWidth="1"/>
    <col min="32" max="35" width="0" style="4" hidden="1" customWidth="1"/>
    <col min="36" max="36" width="11.85546875" style="4"/>
    <col min="37" max="37" width="13.42578125" style="4" customWidth="1"/>
    <col min="38" max="38" width="13" style="4" customWidth="1"/>
    <col min="39" max="40" width="10.5703125" style="4" customWidth="1"/>
    <col min="41" max="41" width="9.42578125" style="4" customWidth="1"/>
    <col min="42" max="42" width="9.7109375" style="4" customWidth="1"/>
    <col min="43" max="43" width="8.140625" style="4" customWidth="1"/>
    <col min="44" max="44" width="9.140625" style="4" customWidth="1"/>
    <col min="45" max="279" width="11.85546875" style="4"/>
    <col min="280" max="280" width="4.140625" style="4" customWidth="1"/>
    <col min="281" max="281" width="3.85546875" style="4" customWidth="1"/>
    <col min="282" max="282" width="3.28515625" style="4" customWidth="1"/>
    <col min="283" max="283" width="5.42578125" style="4" customWidth="1"/>
    <col min="284" max="284" width="80" style="4" customWidth="1"/>
    <col min="285" max="285" width="6.85546875" style="4" customWidth="1"/>
    <col min="286" max="286" width="18.7109375" style="4" customWidth="1"/>
    <col min="287" max="287" width="16.85546875" style="4" customWidth="1"/>
    <col min="288" max="291" width="0" style="4" hidden="1" customWidth="1"/>
    <col min="292" max="292" width="11.85546875" style="4"/>
    <col min="293" max="293" width="13.42578125" style="4" customWidth="1"/>
    <col min="294" max="294" width="13" style="4" customWidth="1"/>
    <col min="295" max="296" width="10.5703125" style="4" customWidth="1"/>
    <col min="297" max="297" width="9.42578125" style="4" customWidth="1"/>
    <col min="298" max="298" width="9.7109375" style="4" customWidth="1"/>
    <col min="299" max="299" width="8.140625" style="4" customWidth="1"/>
    <col min="300" max="300" width="9.140625" style="4" customWidth="1"/>
    <col min="301" max="535" width="11.85546875" style="4"/>
    <col min="536" max="536" width="4.140625" style="4" customWidth="1"/>
    <col min="537" max="537" width="3.85546875" style="4" customWidth="1"/>
    <col min="538" max="538" width="3.28515625" style="4" customWidth="1"/>
    <col min="539" max="539" width="5.42578125" style="4" customWidth="1"/>
    <col min="540" max="540" width="80" style="4" customWidth="1"/>
    <col min="541" max="541" width="6.85546875" style="4" customWidth="1"/>
    <col min="542" max="542" width="18.7109375" style="4" customWidth="1"/>
    <col min="543" max="543" width="16.85546875" style="4" customWidth="1"/>
    <col min="544" max="547" width="0" style="4" hidden="1" customWidth="1"/>
    <col min="548" max="548" width="11.85546875" style="4"/>
    <col min="549" max="549" width="13.42578125" style="4" customWidth="1"/>
    <col min="550" max="550" width="13" style="4" customWidth="1"/>
    <col min="551" max="552" width="10.5703125" style="4" customWidth="1"/>
    <col min="553" max="553" width="9.42578125" style="4" customWidth="1"/>
    <col min="554" max="554" width="9.7109375" style="4" customWidth="1"/>
    <col min="555" max="555" width="8.140625" style="4" customWidth="1"/>
    <col min="556" max="556" width="9.140625" style="4" customWidth="1"/>
    <col min="557" max="791" width="11.85546875" style="4"/>
    <col min="792" max="792" width="4.140625" style="4" customWidth="1"/>
    <col min="793" max="793" width="3.85546875" style="4" customWidth="1"/>
    <col min="794" max="794" width="3.28515625" style="4" customWidth="1"/>
    <col min="795" max="795" width="5.42578125" style="4" customWidth="1"/>
    <col min="796" max="796" width="80" style="4" customWidth="1"/>
    <col min="797" max="797" width="6.85546875" style="4" customWidth="1"/>
    <col min="798" max="798" width="18.7109375" style="4" customWidth="1"/>
    <col min="799" max="799" width="16.85546875" style="4" customWidth="1"/>
    <col min="800" max="803" width="0" style="4" hidden="1" customWidth="1"/>
    <col min="804" max="804" width="11.85546875" style="4"/>
    <col min="805" max="805" width="13.42578125" style="4" customWidth="1"/>
    <col min="806" max="806" width="13" style="4" customWidth="1"/>
    <col min="807" max="808" width="10.5703125" style="4" customWidth="1"/>
    <col min="809" max="809" width="9.42578125" style="4" customWidth="1"/>
    <col min="810" max="810" width="9.7109375" style="4" customWidth="1"/>
    <col min="811" max="811" width="8.140625" style="4" customWidth="1"/>
    <col min="812" max="812" width="9.140625" style="4" customWidth="1"/>
    <col min="813" max="1047" width="11.85546875" style="4"/>
    <col min="1048" max="1048" width="4.140625" style="4" customWidth="1"/>
    <col min="1049" max="1049" width="3.85546875" style="4" customWidth="1"/>
    <col min="1050" max="1050" width="3.28515625" style="4" customWidth="1"/>
    <col min="1051" max="1051" width="5.42578125" style="4" customWidth="1"/>
    <col min="1052" max="1052" width="80" style="4" customWidth="1"/>
    <col min="1053" max="1053" width="6.85546875" style="4" customWidth="1"/>
    <col min="1054" max="1054" width="18.7109375" style="4" customWidth="1"/>
    <col min="1055" max="1055" width="16.85546875" style="4" customWidth="1"/>
    <col min="1056" max="1059" width="0" style="4" hidden="1" customWidth="1"/>
    <col min="1060" max="1060" width="11.85546875" style="4"/>
    <col min="1061" max="1061" width="13.42578125" style="4" customWidth="1"/>
    <col min="1062" max="1062" width="13" style="4" customWidth="1"/>
    <col min="1063" max="1064" width="10.5703125" style="4" customWidth="1"/>
    <col min="1065" max="1065" width="9.42578125" style="4" customWidth="1"/>
    <col min="1066" max="1066" width="9.7109375" style="4" customWidth="1"/>
    <col min="1067" max="1067" width="8.140625" style="4" customWidth="1"/>
    <col min="1068" max="1068" width="9.140625" style="4" customWidth="1"/>
    <col min="1069" max="1303" width="11.85546875" style="4"/>
    <col min="1304" max="1304" width="4.140625" style="4" customWidth="1"/>
    <col min="1305" max="1305" width="3.85546875" style="4" customWidth="1"/>
    <col min="1306" max="1306" width="3.28515625" style="4" customWidth="1"/>
    <col min="1307" max="1307" width="5.42578125" style="4" customWidth="1"/>
    <col min="1308" max="1308" width="80" style="4" customWidth="1"/>
    <col min="1309" max="1309" width="6.85546875" style="4" customWidth="1"/>
    <col min="1310" max="1310" width="18.7109375" style="4" customWidth="1"/>
    <col min="1311" max="1311" width="16.85546875" style="4" customWidth="1"/>
    <col min="1312" max="1315" width="0" style="4" hidden="1" customWidth="1"/>
    <col min="1316" max="1316" width="11.85546875" style="4"/>
    <col min="1317" max="1317" width="13.42578125" style="4" customWidth="1"/>
    <col min="1318" max="1318" width="13" style="4" customWidth="1"/>
    <col min="1319" max="1320" width="10.5703125" style="4" customWidth="1"/>
    <col min="1321" max="1321" width="9.42578125" style="4" customWidth="1"/>
    <col min="1322" max="1322" width="9.7109375" style="4" customWidth="1"/>
    <col min="1323" max="1323" width="8.140625" style="4" customWidth="1"/>
    <col min="1324" max="1324" width="9.140625" style="4" customWidth="1"/>
    <col min="1325" max="1559" width="11.85546875" style="4"/>
    <col min="1560" max="1560" width="4.140625" style="4" customWidth="1"/>
    <col min="1561" max="1561" width="3.85546875" style="4" customWidth="1"/>
    <col min="1562" max="1562" width="3.28515625" style="4" customWidth="1"/>
    <col min="1563" max="1563" width="5.42578125" style="4" customWidth="1"/>
    <col min="1564" max="1564" width="80" style="4" customWidth="1"/>
    <col min="1565" max="1565" width="6.85546875" style="4" customWidth="1"/>
    <col min="1566" max="1566" width="18.7109375" style="4" customWidth="1"/>
    <col min="1567" max="1567" width="16.85546875" style="4" customWidth="1"/>
    <col min="1568" max="1571" width="0" style="4" hidden="1" customWidth="1"/>
    <col min="1572" max="1572" width="11.85546875" style="4"/>
    <col min="1573" max="1573" width="13.42578125" style="4" customWidth="1"/>
    <col min="1574" max="1574" width="13" style="4" customWidth="1"/>
    <col min="1575" max="1576" width="10.5703125" style="4" customWidth="1"/>
    <col min="1577" max="1577" width="9.42578125" style="4" customWidth="1"/>
    <col min="1578" max="1578" width="9.7109375" style="4" customWidth="1"/>
    <col min="1579" max="1579" width="8.140625" style="4" customWidth="1"/>
    <col min="1580" max="1580" width="9.140625" style="4" customWidth="1"/>
    <col min="1581" max="1815" width="11.85546875" style="4"/>
    <col min="1816" max="1816" width="4.140625" style="4" customWidth="1"/>
    <col min="1817" max="1817" width="3.85546875" style="4" customWidth="1"/>
    <col min="1818" max="1818" width="3.28515625" style="4" customWidth="1"/>
    <col min="1819" max="1819" width="5.42578125" style="4" customWidth="1"/>
    <col min="1820" max="1820" width="80" style="4" customWidth="1"/>
    <col min="1821" max="1821" width="6.85546875" style="4" customWidth="1"/>
    <col min="1822" max="1822" width="18.7109375" style="4" customWidth="1"/>
    <col min="1823" max="1823" width="16.85546875" style="4" customWidth="1"/>
    <col min="1824" max="1827" width="0" style="4" hidden="1" customWidth="1"/>
    <col min="1828" max="1828" width="11.85546875" style="4"/>
    <col min="1829" max="1829" width="13.42578125" style="4" customWidth="1"/>
    <col min="1830" max="1830" width="13" style="4" customWidth="1"/>
    <col min="1831" max="1832" width="10.5703125" style="4" customWidth="1"/>
    <col min="1833" max="1833" width="9.42578125" style="4" customWidth="1"/>
    <col min="1834" max="1834" width="9.7109375" style="4" customWidth="1"/>
    <col min="1835" max="1835" width="8.140625" style="4" customWidth="1"/>
    <col min="1836" max="1836" width="9.140625" style="4" customWidth="1"/>
    <col min="1837" max="2071" width="11.85546875" style="4"/>
    <col min="2072" max="2072" width="4.140625" style="4" customWidth="1"/>
    <col min="2073" max="2073" width="3.85546875" style="4" customWidth="1"/>
    <col min="2074" max="2074" width="3.28515625" style="4" customWidth="1"/>
    <col min="2075" max="2075" width="5.42578125" style="4" customWidth="1"/>
    <col min="2076" max="2076" width="80" style="4" customWidth="1"/>
    <col min="2077" max="2077" width="6.85546875" style="4" customWidth="1"/>
    <col min="2078" max="2078" width="18.7109375" style="4" customWidth="1"/>
    <col min="2079" max="2079" width="16.85546875" style="4" customWidth="1"/>
    <col min="2080" max="2083" width="0" style="4" hidden="1" customWidth="1"/>
    <col min="2084" max="2084" width="11.85546875" style="4"/>
    <col min="2085" max="2085" width="13.42578125" style="4" customWidth="1"/>
    <col min="2086" max="2086" width="13" style="4" customWidth="1"/>
    <col min="2087" max="2088" width="10.5703125" style="4" customWidth="1"/>
    <col min="2089" max="2089" width="9.42578125" style="4" customWidth="1"/>
    <col min="2090" max="2090" width="9.7109375" style="4" customWidth="1"/>
    <col min="2091" max="2091" width="8.140625" style="4" customWidth="1"/>
    <col min="2092" max="2092" width="9.140625" style="4" customWidth="1"/>
    <col min="2093" max="2327" width="11.85546875" style="4"/>
    <col min="2328" max="2328" width="4.140625" style="4" customWidth="1"/>
    <col min="2329" max="2329" width="3.85546875" style="4" customWidth="1"/>
    <col min="2330" max="2330" width="3.28515625" style="4" customWidth="1"/>
    <col min="2331" max="2331" width="5.42578125" style="4" customWidth="1"/>
    <col min="2332" max="2332" width="80" style="4" customWidth="1"/>
    <col min="2333" max="2333" width="6.85546875" style="4" customWidth="1"/>
    <col min="2334" max="2334" width="18.7109375" style="4" customWidth="1"/>
    <col min="2335" max="2335" width="16.85546875" style="4" customWidth="1"/>
    <col min="2336" max="2339" width="0" style="4" hidden="1" customWidth="1"/>
    <col min="2340" max="2340" width="11.85546875" style="4"/>
    <col min="2341" max="2341" width="13.42578125" style="4" customWidth="1"/>
    <col min="2342" max="2342" width="13" style="4" customWidth="1"/>
    <col min="2343" max="2344" width="10.5703125" style="4" customWidth="1"/>
    <col min="2345" max="2345" width="9.42578125" style="4" customWidth="1"/>
    <col min="2346" max="2346" width="9.7109375" style="4" customWidth="1"/>
    <col min="2347" max="2347" width="8.140625" style="4" customWidth="1"/>
    <col min="2348" max="2348" width="9.140625" style="4" customWidth="1"/>
    <col min="2349" max="2583" width="11.85546875" style="4"/>
    <col min="2584" max="2584" width="4.140625" style="4" customWidth="1"/>
    <col min="2585" max="2585" width="3.85546875" style="4" customWidth="1"/>
    <col min="2586" max="2586" width="3.28515625" style="4" customWidth="1"/>
    <col min="2587" max="2587" width="5.42578125" style="4" customWidth="1"/>
    <col min="2588" max="2588" width="80" style="4" customWidth="1"/>
    <col min="2589" max="2589" width="6.85546875" style="4" customWidth="1"/>
    <col min="2590" max="2590" width="18.7109375" style="4" customWidth="1"/>
    <col min="2591" max="2591" width="16.85546875" style="4" customWidth="1"/>
    <col min="2592" max="2595" width="0" style="4" hidden="1" customWidth="1"/>
    <col min="2596" max="2596" width="11.85546875" style="4"/>
    <col min="2597" max="2597" width="13.42578125" style="4" customWidth="1"/>
    <col min="2598" max="2598" width="13" style="4" customWidth="1"/>
    <col min="2599" max="2600" width="10.5703125" style="4" customWidth="1"/>
    <col min="2601" max="2601" width="9.42578125" style="4" customWidth="1"/>
    <col min="2602" max="2602" width="9.7109375" style="4" customWidth="1"/>
    <col min="2603" max="2603" width="8.140625" style="4" customWidth="1"/>
    <col min="2604" max="2604" width="9.140625" style="4" customWidth="1"/>
    <col min="2605" max="2839" width="11.85546875" style="4"/>
    <col min="2840" max="2840" width="4.140625" style="4" customWidth="1"/>
    <col min="2841" max="2841" width="3.85546875" style="4" customWidth="1"/>
    <col min="2842" max="2842" width="3.28515625" style="4" customWidth="1"/>
    <col min="2843" max="2843" width="5.42578125" style="4" customWidth="1"/>
    <col min="2844" max="2844" width="80" style="4" customWidth="1"/>
    <col min="2845" max="2845" width="6.85546875" style="4" customWidth="1"/>
    <col min="2846" max="2846" width="18.7109375" style="4" customWidth="1"/>
    <col min="2847" max="2847" width="16.85546875" style="4" customWidth="1"/>
    <col min="2848" max="2851" width="0" style="4" hidden="1" customWidth="1"/>
    <col min="2852" max="2852" width="11.85546875" style="4"/>
    <col min="2853" max="2853" width="13.42578125" style="4" customWidth="1"/>
    <col min="2854" max="2854" width="13" style="4" customWidth="1"/>
    <col min="2855" max="2856" width="10.5703125" style="4" customWidth="1"/>
    <col min="2857" max="2857" width="9.42578125" style="4" customWidth="1"/>
    <col min="2858" max="2858" width="9.7109375" style="4" customWidth="1"/>
    <col min="2859" max="2859" width="8.140625" style="4" customWidth="1"/>
    <col min="2860" max="2860" width="9.140625" style="4" customWidth="1"/>
    <col min="2861" max="3095" width="11.85546875" style="4"/>
    <col min="3096" max="3096" width="4.140625" style="4" customWidth="1"/>
    <col min="3097" max="3097" width="3.85546875" style="4" customWidth="1"/>
    <col min="3098" max="3098" width="3.28515625" style="4" customWidth="1"/>
    <col min="3099" max="3099" width="5.42578125" style="4" customWidth="1"/>
    <col min="3100" max="3100" width="80" style="4" customWidth="1"/>
    <col min="3101" max="3101" width="6.85546875" style="4" customWidth="1"/>
    <col min="3102" max="3102" width="18.7109375" style="4" customWidth="1"/>
    <col min="3103" max="3103" width="16.85546875" style="4" customWidth="1"/>
    <col min="3104" max="3107" width="0" style="4" hidden="1" customWidth="1"/>
    <col min="3108" max="3108" width="11.85546875" style="4"/>
    <col min="3109" max="3109" width="13.42578125" style="4" customWidth="1"/>
    <col min="3110" max="3110" width="13" style="4" customWidth="1"/>
    <col min="3111" max="3112" width="10.5703125" style="4" customWidth="1"/>
    <col min="3113" max="3113" width="9.42578125" style="4" customWidth="1"/>
    <col min="3114" max="3114" width="9.7109375" style="4" customWidth="1"/>
    <col min="3115" max="3115" width="8.140625" style="4" customWidth="1"/>
    <col min="3116" max="3116" width="9.140625" style="4" customWidth="1"/>
    <col min="3117" max="3351" width="11.85546875" style="4"/>
    <col min="3352" max="3352" width="4.140625" style="4" customWidth="1"/>
    <col min="3353" max="3353" width="3.85546875" style="4" customWidth="1"/>
    <col min="3354" max="3354" width="3.28515625" style="4" customWidth="1"/>
    <col min="3355" max="3355" width="5.42578125" style="4" customWidth="1"/>
    <col min="3356" max="3356" width="80" style="4" customWidth="1"/>
    <col min="3357" max="3357" width="6.85546875" style="4" customWidth="1"/>
    <col min="3358" max="3358" width="18.7109375" style="4" customWidth="1"/>
    <col min="3359" max="3359" width="16.85546875" style="4" customWidth="1"/>
    <col min="3360" max="3363" width="0" style="4" hidden="1" customWidth="1"/>
    <col min="3364" max="3364" width="11.85546875" style="4"/>
    <col min="3365" max="3365" width="13.42578125" style="4" customWidth="1"/>
    <col min="3366" max="3366" width="13" style="4" customWidth="1"/>
    <col min="3367" max="3368" width="10.5703125" style="4" customWidth="1"/>
    <col min="3369" max="3369" width="9.42578125" style="4" customWidth="1"/>
    <col min="3370" max="3370" width="9.7109375" style="4" customWidth="1"/>
    <col min="3371" max="3371" width="8.140625" style="4" customWidth="1"/>
    <col min="3372" max="3372" width="9.140625" style="4" customWidth="1"/>
    <col min="3373" max="3607" width="11.85546875" style="4"/>
    <col min="3608" max="3608" width="4.140625" style="4" customWidth="1"/>
    <col min="3609" max="3609" width="3.85546875" style="4" customWidth="1"/>
    <col min="3610" max="3610" width="3.28515625" style="4" customWidth="1"/>
    <col min="3611" max="3611" width="5.42578125" style="4" customWidth="1"/>
    <col min="3612" max="3612" width="80" style="4" customWidth="1"/>
    <col min="3613" max="3613" width="6.85546875" style="4" customWidth="1"/>
    <col min="3614" max="3614" width="18.7109375" style="4" customWidth="1"/>
    <col min="3615" max="3615" width="16.85546875" style="4" customWidth="1"/>
    <col min="3616" max="3619" width="0" style="4" hidden="1" customWidth="1"/>
    <col min="3620" max="3620" width="11.85546875" style="4"/>
    <col min="3621" max="3621" width="13.42578125" style="4" customWidth="1"/>
    <col min="3622" max="3622" width="13" style="4" customWidth="1"/>
    <col min="3623" max="3624" width="10.5703125" style="4" customWidth="1"/>
    <col min="3625" max="3625" width="9.42578125" style="4" customWidth="1"/>
    <col min="3626" max="3626" width="9.7109375" style="4" customWidth="1"/>
    <col min="3627" max="3627" width="8.140625" style="4" customWidth="1"/>
    <col min="3628" max="3628" width="9.140625" style="4" customWidth="1"/>
    <col min="3629" max="3863" width="11.85546875" style="4"/>
    <col min="3864" max="3864" width="4.140625" style="4" customWidth="1"/>
    <col min="3865" max="3865" width="3.85546875" style="4" customWidth="1"/>
    <col min="3866" max="3866" width="3.28515625" style="4" customWidth="1"/>
    <col min="3867" max="3867" width="5.42578125" style="4" customWidth="1"/>
    <col min="3868" max="3868" width="80" style="4" customWidth="1"/>
    <col min="3869" max="3869" width="6.85546875" style="4" customWidth="1"/>
    <col min="3870" max="3870" width="18.7109375" style="4" customWidth="1"/>
    <col min="3871" max="3871" width="16.85546875" style="4" customWidth="1"/>
    <col min="3872" max="3875" width="0" style="4" hidden="1" customWidth="1"/>
    <col min="3876" max="3876" width="11.85546875" style="4"/>
    <col min="3877" max="3877" width="13.42578125" style="4" customWidth="1"/>
    <col min="3878" max="3878" width="13" style="4" customWidth="1"/>
    <col min="3879" max="3880" width="10.5703125" style="4" customWidth="1"/>
    <col min="3881" max="3881" width="9.42578125" style="4" customWidth="1"/>
    <col min="3882" max="3882" width="9.7109375" style="4" customWidth="1"/>
    <col min="3883" max="3883" width="8.140625" style="4" customWidth="1"/>
    <col min="3884" max="3884" width="9.140625" style="4" customWidth="1"/>
    <col min="3885" max="4119" width="11.85546875" style="4"/>
    <col min="4120" max="4120" width="4.140625" style="4" customWidth="1"/>
    <col min="4121" max="4121" width="3.85546875" style="4" customWidth="1"/>
    <col min="4122" max="4122" width="3.28515625" style="4" customWidth="1"/>
    <col min="4123" max="4123" width="5.42578125" style="4" customWidth="1"/>
    <col min="4124" max="4124" width="80" style="4" customWidth="1"/>
    <col min="4125" max="4125" width="6.85546875" style="4" customWidth="1"/>
    <col min="4126" max="4126" width="18.7109375" style="4" customWidth="1"/>
    <col min="4127" max="4127" width="16.85546875" style="4" customWidth="1"/>
    <col min="4128" max="4131" width="0" style="4" hidden="1" customWidth="1"/>
    <col min="4132" max="4132" width="11.85546875" style="4"/>
    <col min="4133" max="4133" width="13.42578125" style="4" customWidth="1"/>
    <col min="4134" max="4134" width="13" style="4" customWidth="1"/>
    <col min="4135" max="4136" width="10.5703125" style="4" customWidth="1"/>
    <col min="4137" max="4137" width="9.42578125" style="4" customWidth="1"/>
    <col min="4138" max="4138" width="9.7109375" style="4" customWidth="1"/>
    <col min="4139" max="4139" width="8.140625" style="4" customWidth="1"/>
    <col min="4140" max="4140" width="9.140625" style="4" customWidth="1"/>
    <col min="4141" max="4375" width="11.85546875" style="4"/>
    <col min="4376" max="4376" width="4.140625" style="4" customWidth="1"/>
    <col min="4377" max="4377" width="3.85546875" style="4" customWidth="1"/>
    <col min="4378" max="4378" width="3.28515625" style="4" customWidth="1"/>
    <col min="4379" max="4379" width="5.42578125" style="4" customWidth="1"/>
    <col min="4380" max="4380" width="80" style="4" customWidth="1"/>
    <col min="4381" max="4381" width="6.85546875" style="4" customWidth="1"/>
    <col min="4382" max="4382" width="18.7109375" style="4" customWidth="1"/>
    <col min="4383" max="4383" width="16.85546875" style="4" customWidth="1"/>
    <col min="4384" max="4387" width="0" style="4" hidden="1" customWidth="1"/>
    <col min="4388" max="4388" width="11.85546875" style="4"/>
    <col min="4389" max="4389" width="13.42578125" style="4" customWidth="1"/>
    <col min="4390" max="4390" width="13" style="4" customWidth="1"/>
    <col min="4391" max="4392" width="10.5703125" style="4" customWidth="1"/>
    <col min="4393" max="4393" width="9.42578125" style="4" customWidth="1"/>
    <col min="4394" max="4394" width="9.7109375" style="4" customWidth="1"/>
    <col min="4395" max="4395" width="8.140625" style="4" customWidth="1"/>
    <col min="4396" max="4396" width="9.140625" style="4" customWidth="1"/>
    <col min="4397" max="4631" width="11.85546875" style="4"/>
    <col min="4632" max="4632" width="4.140625" style="4" customWidth="1"/>
    <col min="4633" max="4633" width="3.85546875" style="4" customWidth="1"/>
    <col min="4634" max="4634" width="3.28515625" style="4" customWidth="1"/>
    <col min="4635" max="4635" width="5.42578125" style="4" customWidth="1"/>
    <col min="4636" max="4636" width="80" style="4" customWidth="1"/>
    <col min="4637" max="4637" width="6.85546875" style="4" customWidth="1"/>
    <col min="4638" max="4638" width="18.7109375" style="4" customWidth="1"/>
    <col min="4639" max="4639" width="16.85546875" style="4" customWidth="1"/>
    <col min="4640" max="4643" width="0" style="4" hidden="1" customWidth="1"/>
    <col min="4644" max="4644" width="11.85546875" style="4"/>
    <col min="4645" max="4645" width="13.42578125" style="4" customWidth="1"/>
    <col min="4646" max="4646" width="13" style="4" customWidth="1"/>
    <col min="4647" max="4648" width="10.5703125" style="4" customWidth="1"/>
    <col min="4649" max="4649" width="9.42578125" style="4" customWidth="1"/>
    <col min="4650" max="4650" width="9.7109375" style="4" customWidth="1"/>
    <col min="4651" max="4651" width="8.140625" style="4" customWidth="1"/>
    <col min="4652" max="4652" width="9.140625" style="4" customWidth="1"/>
    <col min="4653" max="4887" width="11.85546875" style="4"/>
    <col min="4888" max="4888" width="4.140625" style="4" customWidth="1"/>
    <col min="4889" max="4889" width="3.85546875" style="4" customWidth="1"/>
    <col min="4890" max="4890" width="3.28515625" style="4" customWidth="1"/>
    <col min="4891" max="4891" width="5.42578125" style="4" customWidth="1"/>
    <col min="4892" max="4892" width="80" style="4" customWidth="1"/>
    <col min="4893" max="4893" width="6.85546875" style="4" customWidth="1"/>
    <col min="4894" max="4894" width="18.7109375" style="4" customWidth="1"/>
    <col min="4895" max="4895" width="16.85546875" style="4" customWidth="1"/>
    <col min="4896" max="4899" width="0" style="4" hidden="1" customWidth="1"/>
    <col min="4900" max="4900" width="11.85546875" style="4"/>
    <col min="4901" max="4901" width="13.42578125" style="4" customWidth="1"/>
    <col min="4902" max="4902" width="13" style="4" customWidth="1"/>
    <col min="4903" max="4904" width="10.5703125" style="4" customWidth="1"/>
    <col min="4905" max="4905" width="9.42578125" style="4" customWidth="1"/>
    <col min="4906" max="4906" width="9.7109375" style="4" customWidth="1"/>
    <col min="4907" max="4907" width="8.140625" style="4" customWidth="1"/>
    <col min="4908" max="4908" width="9.140625" style="4" customWidth="1"/>
    <col min="4909" max="5143" width="11.85546875" style="4"/>
    <col min="5144" max="5144" width="4.140625" style="4" customWidth="1"/>
    <col min="5145" max="5145" width="3.85546875" style="4" customWidth="1"/>
    <col min="5146" max="5146" width="3.28515625" style="4" customWidth="1"/>
    <col min="5147" max="5147" width="5.42578125" style="4" customWidth="1"/>
    <col min="5148" max="5148" width="80" style="4" customWidth="1"/>
    <col min="5149" max="5149" width="6.85546875" style="4" customWidth="1"/>
    <col min="5150" max="5150" width="18.7109375" style="4" customWidth="1"/>
    <col min="5151" max="5151" width="16.85546875" style="4" customWidth="1"/>
    <col min="5152" max="5155" width="0" style="4" hidden="1" customWidth="1"/>
    <col min="5156" max="5156" width="11.85546875" style="4"/>
    <col min="5157" max="5157" width="13.42578125" style="4" customWidth="1"/>
    <col min="5158" max="5158" width="13" style="4" customWidth="1"/>
    <col min="5159" max="5160" width="10.5703125" style="4" customWidth="1"/>
    <col min="5161" max="5161" width="9.42578125" style="4" customWidth="1"/>
    <col min="5162" max="5162" width="9.7109375" style="4" customWidth="1"/>
    <col min="5163" max="5163" width="8.140625" style="4" customWidth="1"/>
    <col min="5164" max="5164" width="9.140625" style="4" customWidth="1"/>
    <col min="5165" max="5399" width="11.85546875" style="4"/>
    <col min="5400" max="5400" width="4.140625" style="4" customWidth="1"/>
    <col min="5401" max="5401" width="3.85546875" style="4" customWidth="1"/>
    <col min="5402" max="5402" width="3.28515625" style="4" customWidth="1"/>
    <col min="5403" max="5403" width="5.42578125" style="4" customWidth="1"/>
    <col min="5404" max="5404" width="80" style="4" customWidth="1"/>
    <col min="5405" max="5405" width="6.85546875" style="4" customWidth="1"/>
    <col min="5406" max="5406" width="18.7109375" style="4" customWidth="1"/>
    <col min="5407" max="5407" width="16.85546875" style="4" customWidth="1"/>
    <col min="5408" max="5411" width="0" style="4" hidden="1" customWidth="1"/>
    <col min="5412" max="5412" width="11.85546875" style="4"/>
    <col min="5413" max="5413" width="13.42578125" style="4" customWidth="1"/>
    <col min="5414" max="5414" width="13" style="4" customWidth="1"/>
    <col min="5415" max="5416" width="10.5703125" style="4" customWidth="1"/>
    <col min="5417" max="5417" width="9.42578125" style="4" customWidth="1"/>
    <col min="5418" max="5418" width="9.7109375" style="4" customWidth="1"/>
    <col min="5419" max="5419" width="8.140625" style="4" customWidth="1"/>
    <col min="5420" max="5420" width="9.140625" style="4" customWidth="1"/>
    <col min="5421" max="5655" width="11.85546875" style="4"/>
    <col min="5656" max="5656" width="4.140625" style="4" customWidth="1"/>
    <col min="5657" max="5657" width="3.85546875" style="4" customWidth="1"/>
    <col min="5658" max="5658" width="3.28515625" style="4" customWidth="1"/>
    <col min="5659" max="5659" width="5.42578125" style="4" customWidth="1"/>
    <col min="5660" max="5660" width="80" style="4" customWidth="1"/>
    <col min="5661" max="5661" width="6.85546875" style="4" customWidth="1"/>
    <col min="5662" max="5662" width="18.7109375" style="4" customWidth="1"/>
    <col min="5663" max="5663" width="16.85546875" style="4" customWidth="1"/>
    <col min="5664" max="5667" width="0" style="4" hidden="1" customWidth="1"/>
    <col min="5668" max="5668" width="11.85546875" style="4"/>
    <col min="5669" max="5669" width="13.42578125" style="4" customWidth="1"/>
    <col min="5670" max="5670" width="13" style="4" customWidth="1"/>
    <col min="5671" max="5672" width="10.5703125" style="4" customWidth="1"/>
    <col min="5673" max="5673" width="9.42578125" style="4" customWidth="1"/>
    <col min="5674" max="5674" width="9.7109375" style="4" customWidth="1"/>
    <col min="5675" max="5675" width="8.140625" style="4" customWidth="1"/>
    <col min="5676" max="5676" width="9.140625" style="4" customWidth="1"/>
    <col min="5677" max="5911" width="11.85546875" style="4"/>
    <col min="5912" max="5912" width="4.140625" style="4" customWidth="1"/>
    <col min="5913" max="5913" width="3.85546875" style="4" customWidth="1"/>
    <col min="5914" max="5914" width="3.28515625" style="4" customWidth="1"/>
    <col min="5915" max="5915" width="5.42578125" style="4" customWidth="1"/>
    <col min="5916" max="5916" width="80" style="4" customWidth="1"/>
    <col min="5917" max="5917" width="6.85546875" style="4" customWidth="1"/>
    <col min="5918" max="5918" width="18.7109375" style="4" customWidth="1"/>
    <col min="5919" max="5919" width="16.85546875" style="4" customWidth="1"/>
    <col min="5920" max="5923" width="0" style="4" hidden="1" customWidth="1"/>
    <col min="5924" max="5924" width="11.85546875" style="4"/>
    <col min="5925" max="5925" width="13.42578125" style="4" customWidth="1"/>
    <col min="5926" max="5926" width="13" style="4" customWidth="1"/>
    <col min="5927" max="5928" width="10.5703125" style="4" customWidth="1"/>
    <col min="5929" max="5929" width="9.42578125" style="4" customWidth="1"/>
    <col min="5930" max="5930" width="9.7109375" style="4" customWidth="1"/>
    <col min="5931" max="5931" width="8.140625" style="4" customWidth="1"/>
    <col min="5932" max="5932" width="9.140625" style="4" customWidth="1"/>
    <col min="5933" max="6167" width="11.85546875" style="4"/>
    <col min="6168" max="6168" width="4.140625" style="4" customWidth="1"/>
    <col min="6169" max="6169" width="3.85546875" style="4" customWidth="1"/>
    <col min="6170" max="6170" width="3.28515625" style="4" customWidth="1"/>
    <col min="6171" max="6171" width="5.42578125" style="4" customWidth="1"/>
    <col min="6172" max="6172" width="80" style="4" customWidth="1"/>
    <col min="6173" max="6173" width="6.85546875" style="4" customWidth="1"/>
    <col min="6174" max="6174" width="18.7109375" style="4" customWidth="1"/>
    <col min="6175" max="6175" width="16.85546875" style="4" customWidth="1"/>
    <col min="6176" max="6179" width="0" style="4" hidden="1" customWidth="1"/>
    <col min="6180" max="6180" width="11.85546875" style="4"/>
    <col min="6181" max="6181" width="13.42578125" style="4" customWidth="1"/>
    <col min="6182" max="6182" width="13" style="4" customWidth="1"/>
    <col min="6183" max="6184" width="10.5703125" style="4" customWidth="1"/>
    <col min="6185" max="6185" width="9.42578125" style="4" customWidth="1"/>
    <col min="6186" max="6186" width="9.7109375" style="4" customWidth="1"/>
    <col min="6187" max="6187" width="8.140625" style="4" customWidth="1"/>
    <col min="6188" max="6188" width="9.140625" style="4" customWidth="1"/>
    <col min="6189" max="6423" width="11.85546875" style="4"/>
    <col min="6424" max="6424" width="4.140625" style="4" customWidth="1"/>
    <col min="6425" max="6425" width="3.85546875" style="4" customWidth="1"/>
    <col min="6426" max="6426" width="3.28515625" style="4" customWidth="1"/>
    <col min="6427" max="6427" width="5.42578125" style="4" customWidth="1"/>
    <col min="6428" max="6428" width="80" style="4" customWidth="1"/>
    <col min="6429" max="6429" width="6.85546875" style="4" customWidth="1"/>
    <col min="6430" max="6430" width="18.7109375" style="4" customWidth="1"/>
    <col min="6431" max="6431" width="16.85546875" style="4" customWidth="1"/>
    <col min="6432" max="6435" width="0" style="4" hidden="1" customWidth="1"/>
    <col min="6436" max="6436" width="11.85546875" style="4"/>
    <col min="6437" max="6437" width="13.42578125" style="4" customWidth="1"/>
    <col min="6438" max="6438" width="13" style="4" customWidth="1"/>
    <col min="6439" max="6440" width="10.5703125" style="4" customWidth="1"/>
    <col min="6441" max="6441" width="9.42578125" style="4" customWidth="1"/>
    <col min="6442" max="6442" width="9.7109375" style="4" customWidth="1"/>
    <col min="6443" max="6443" width="8.140625" style="4" customWidth="1"/>
    <col min="6444" max="6444" width="9.140625" style="4" customWidth="1"/>
    <col min="6445" max="6679" width="11.85546875" style="4"/>
    <col min="6680" max="6680" width="4.140625" style="4" customWidth="1"/>
    <col min="6681" max="6681" width="3.85546875" style="4" customWidth="1"/>
    <col min="6682" max="6682" width="3.28515625" style="4" customWidth="1"/>
    <col min="6683" max="6683" width="5.42578125" style="4" customWidth="1"/>
    <col min="6684" max="6684" width="80" style="4" customWidth="1"/>
    <col min="6685" max="6685" width="6.85546875" style="4" customWidth="1"/>
    <col min="6686" max="6686" width="18.7109375" style="4" customWidth="1"/>
    <col min="6687" max="6687" width="16.85546875" style="4" customWidth="1"/>
    <col min="6688" max="6691" width="0" style="4" hidden="1" customWidth="1"/>
    <col min="6692" max="6692" width="11.85546875" style="4"/>
    <col min="6693" max="6693" width="13.42578125" style="4" customWidth="1"/>
    <col min="6694" max="6694" width="13" style="4" customWidth="1"/>
    <col min="6695" max="6696" width="10.5703125" style="4" customWidth="1"/>
    <col min="6697" max="6697" width="9.42578125" style="4" customWidth="1"/>
    <col min="6698" max="6698" width="9.7109375" style="4" customWidth="1"/>
    <col min="6699" max="6699" width="8.140625" style="4" customWidth="1"/>
    <col min="6700" max="6700" width="9.140625" style="4" customWidth="1"/>
    <col min="6701" max="6935" width="11.85546875" style="4"/>
    <col min="6936" max="6936" width="4.140625" style="4" customWidth="1"/>
    <col min="6937" max="6937" width="3.85546875" style="4" customWidth="1"/>
    <col min="6938" max="6938" width="3.28515625" style="4" customWidth="1"/>
    <col min="6939" max="6939" width="5.42578125" style="4" customWidth="1"/>
    <col min="6940" max="6940" width="80" style="4" customWidth="1"/>
    <col min="6941" max="6941" width="6.85546875" style="4" customWidth="1"/>
    <col min="6942" max="6942" width="18.7109375" style="4" customWidth="1"/>
    <col min="6943" max="6943" width="16.85546875" style="4" customWidth="1"/>
    <col min="6944" max="6947" width="0" style="4" hidden="1" customWidth="1"/>
    <col min="6948" max="6948" width="11.85546875" style="4"/>
    <col min="6949" max="6949" width="13.42578125" style="4" customWidth="1"/>
    <col min="6950" max="6950" width="13" style="4" customWidth="1"/>
    <col min="6951" max="6952" width="10.5703125" style="4" customWidth="1"/>
    <col min="6953" max="6953" width="9.42578125" style="4" customWidth="1"/>
    <col min="6954" max="6954" width="9.7109375" style="4" customWidth="1"/>
    <col min="6955" max="6955" width="8.140625" style="4" customWidth="1"/>
    <col min="6956" max="6956" width="9.140625" style="4" customWidth="1"/>
    <col min="6957" max="7191" width="11.85546875" style="4"/>
    <col min="7192" max="7192" width="4.140625" style="4" customWidth="1"/>
    <col min="7193" max="7193" width="3.85546875" style="4" customWidth="1"/>
    <col min="7194" max="7194" width="3.28515625" style="4" customWidth="1"/>
    <col min="7195" max="7195" width="5.42578125" style="4" customWidth="1"/>
    <col min="7196" max="7196" width="80" style="4" customWidth="1"/>
    <col min="7197" max="7197" width="6.85546875" style="4" customWidth="1"/>
    <col min="7198" max="7198" width="18.7109375" style="4" customWidth="1"/>
    <col min="7199" max="7199" width="16.85546875" style="4" customWidth="1"/>
    <col min="7200" max="7203" width="0" style="4" hidden="1" customWidth="1"/>
    <col min="7204" max="7204" width="11.85546875" style="4"/>
    <col min="7205" max="7205" width="13.42578125" style="4" customWidth="1"/>
    <col min="7206" max="7206" width="13" style="4" customWidth="1"/>
    <col min="7207" max="7208" width="10.5703125" style="4" customWidth="1"/>
    <col min="7209" max="7209" width="9.42578125" style="4" customWidth="1"/>
    <col min="7210" max="7210" width="9.7109375" style="4" customWidth="1"/>
    <col min="7211" max="7211" width="8.140625" style="4" customWidth="1"/>
    <col min="7212" max="7212" width="9.140625" style="4" customWidth="1"/>
    <col min="7213" max="7447" width="11.85546875" style="4"/>
    <col min="7448" max="7448" width="4.140625" style="4" customWidth="1"/>
    <col min="7449" max="7449" width="3.85546875" style="4" customWidth="1"/>
    <col min="7450" max="7450" width="3.28515625" style="4" customWidth="1"/>
    <col min="7451" max="7451" width="5.42578125" style="4" customWidth="1"/>
    <col min="7452" max="7452" width="80" style="4" customWidth="1"/>
    <col min="7453" max="7453" width="6.85546875" style="4" customWidth="1"/>
    <col min="7454" max="7454" width="18.7109375" style="4" customWidth="1"/>
    <col min="7455" max="7455" width="16.85546875" style="4" customWidth="1"/>
    <col min="7456" max="7459" width="0" style="4" hidden="1" customWidth="1"/>
    <col min="7460" max="7460" width="11.85546875" style="4"/>
    <col min="7461" max="7461" width="13.42578125" style="4" customWidth="1"/>
    <col min="7462" max="7462" width="13" style="4" customWidth="1"/>
    <col min="7463" max="7464" width="10.5703125" style="4" customWidth="1"/>
    <col min="7465" max="7465" width="9.42578125" style="4" customWidth="1"/>
    <col min="7466" max="7466" width="9.7109375" style="4" customWidth="1"/>
    <col min="7467" max="7467" width="8.140625" style="4" customWidth="1"/>
    <col min="7468" max="7468" width="9.140625" style="4" customWidth="1"/>
    <col min="7469" max="7703" width="11.85546875" style="4"/>
    <col min="7704" max="7704" width="4.140625" style="4" customWidth="1"/>
    <col min="7705" max="7705" width="3.85546875" style="4" customWidth="1"/>
    <col min="7706" max="7706" width="3.28515625" style="4" customWidth="1"/>
    <col min="7707" max="7707" width="5.42578125" style="4" customWidth="1"/>
    <col min="7708" max="7708" width="80" style="4" customWidth="1"/>
    <col min="7709" max="7709" width="6.85546875" style="4" customWidth="1"/>
    <col min="7710" max="7710" width="18.7109375" style="4" customWidth="1"/>
    <col min="7711" max="7711" width="16.85546875" style="4" customWidth="1"/>
    <col min="7712" max="7715" width="0" style="4" hidden="1" customWidth="1"/>
    <col min="7716" max="7716" width="11.85546875" style="4"/>
    <col min="7717" max="7717" width="13.42578125" style="4" customWidth="1"/>
    <col min="7718" max="7718" width="13" style="4" customWidth="1"/>
    <col min="7719" max="7720" width="10.5703125" style="4" customWidth="1"/>
    <col min="7721" max="7721" width="9.42578125" style="4" customWidth="1"/>
    <col min="7722" max="7722" width="9.7109375" style="4" customWidth="1"/>
    <col min="7723" max="7723" width="8.140625" style="4" customWidth="1"/>
    <col min="7724" max="7724" width="9.140625" style="4" customWidth="1"/>
    <col min="7725" max="7959" width="11.85546875" style="4"/>
    <col min="7960" max="7960" width="4.140625" style="4" customWidth="1"/>
    <col min="7961" max="7961" width="3.85546875" style="4" customWidth="1"/>
    <col min="7962" max="7962" width="3.28515625" style="4" customWidth="1"/>
    <col min="7963" max="7963" width="5.42578125" style="4" customWidth="1"/>
    <col min="7964" max="7964" width="80" style="4" customWidth="1"/>
    <col min="7965" max="7965" width="6.85546875" style="4" customWidth="1"/>
    <col min="7966" max="7966" width="18.7109375" style="4" customWidth="1"/>
    <col min="7967" max="7967" width="16.85546875" style="4" customWidth="1"/>
    <col min="7968" max="7971" width="0" style="4" hidden="1" customWidth="1"/>
    <col min="7972" max="7972" width="11.85546875" style="4"/>
    <col min="7973" max="7973" width="13.42578125" style="4" customWidth="1"/>
    <col min="7974" max="7974" width="13" style="4" customWidth="1"/>
    <col min="7975" max="7976" width="10.5703125" style="4" customWidth="1"/>
    <col min="7977" max="7977" width="9.42578125" style="4" customWidth="1"/>
    <col min="7978" max="7978" width="9.7109375" style="4" customWidth="1"/>
    <col min="7979" max="7979" width="8.140625" style="4" customWidth="1"/>
    <col min="7980" max="7980" width="9.140625" style="4" customWidth="1"/>
    <col min="7981" max="8215" width="11.85546875" style="4"/>
    <col min="8216" max="8216" width="4.140625" style="4" customWidth="1"/>
    <col min="8217" max="8217" width="3.85546875" style="4" customWidth="1"/>
    <col min="8218" max="8218" width="3.28515625" style="4" customWidth="1"/>
    <col min="8219" max="8219" width="5.42578125" style="4" customWidth="1"/>
    <col min="8220" max="8220" width="80" style="4" customWidth="1"/>
    <col min="8221" max="8221" width="6.85546875" style="4" customWidth="1"/>
    <col min="8222" max="8222" width="18.7109375" style="4" customWidth="1"/>
    <col min="8223" max="8223" width="16.85546875" style="4" customWidth="1"/>
    <col min="8224" max="8227" width="0" style="4" hidden="1" customWidth="1"/>
    <col min="8228" max="8228" width="11.85546875" style="4"/>
    <col min="8229" max="8229" width="13.42578125" style="4" customWidth="1"/>
    <col min="8230" max="8230" width="13" style="4" customWidth="1"/>
    <col min="8231" max="8232" width="10.5703125" style="4" customWidth="1"/>
    <col min="8233" max="8233" width="9.42578125" style="4" customWidth="1"/>
    <col min="8234" max="8234" width="9.7109375" style="4" customWidth="1"/>
    <col min="8235" max="8235" width="8.140625" style="4" customWidth="1"/>
    <col min="8236" max="8236" width="9.140625" style="4" customWidth="1"/>
    <col min="8237" max="8471" width="11.85546875" style="4"/>
    <col min="8472" max="8472" width="4.140625" style="4" customWidth="1"/>
    <col min="8473" max="8473" width="3.85546875" style="4" customWidth="1"/>
    <col min="8474" max="8474" width="3.28515625" style="4" customWidth="1"/>
    <col min="8475" max="8475" width="5.42578125" style="4" customWidth="1"/>
    <col min="8476" max="8476" width="80" style="4" customWidth="1"/>
    <col min="8477" max="8477" width="6.85546875" style="4" customWidth="1"/>
    <col min="8478" max="8478" width="18.7109375" style="4" customWidth="1"/>
    <col min="8479" max="8479" width="16.85546875" style="4" customWidth="1"/>
    <col min="8480" max="8483" width="0" style="4" hidden="1" customWidth="1"/>
    <col min="8484" max="8484" width="11.85546875" style="4"/>
    <col min="8485" max="8485" width="13.42578125" style="4" customWidth="1"/>
    <col min="8486" max="8486" width="13" style="4" customWidth="1"/>
    <col min="8487" max="8488" width="10.5703125" style="4" customWidth="1"/>
    <col min="8489" max="8489" width="9.42578125" style="4" customWidth="1"/>
    <col min="8490" max="8490" width="9.7109375" style="4" customWidth="1"/>
    <col min="8491" max="8491" width="8.140625" style="4" customWidth="1"/>
    <col min="8492" max="8492" width="9.140625" style="4" customWidth="1"/>
    <col min="8493" max="8727" width="11.85546875" style="4"/>
    <col min="8728" max="8728" width="4.140625" style="4" customWidth="1"/>
    <col min="8729" max="8729" width="3.85546875" style="4" customWidth="1"/>
    <col min="8730" max="8730" width="3.28515625" style="4" customWidth="1"/>
    <col min="8731" max="8731" width="5.42578125" style="4" customWidth="1"/>
    <col min="8732" max="8732" width="80" style="4" customWidth="1"/>
    <col min="8733" max="8733" width="6.85546875" style="4" customWidth="1"/>
    <col min="8734" max="8734" width="18.7109375" style="4" customWidth="1"/>
    <col min="8735" max="8735" width="16.85546875" style="4" customWidth="1"/>
    <col min="8736" max="8739" width="0" style="4" hidden="1" customWidth="1"/>
    <col min="8740" max="8740" width="11.85546875" style="4"/>
    <col min="8741" max="8741" width="13.42578125" style="4" customWidth="1"/>
    <col min="8742" max="8742" width="13" style="4" customWidth="1"/>
    <col min="8743" max="8744" width="10.5703125" style="4" customWidth="1"/>
    <col min="8745" max="8745" width="9.42578125" style="4" customWidth="1"/>
    <col min="8746" max="8746" width="9.7109375" style="4" customWidth="1"/>
    <col min="8747" max="8747" width="8.140625" style="4" customWidth="1"/>
    <col min="8748" max="8748" width="9.140625" style="4" customWidth="1"/>
    <col min="8749" max="8983" width="11.85546875" style="4"/>
    <col min="8984" max="8984" width="4.140625" style="4" customWidth="1"/>
    <col min="8985" max="8985" width="3.85546875" style="4" customWidth="1"/>
    <col min="8986" max="8986" width="3.28515625" style="4" customWidth="1"/>
    <col min="8987" max="8987" width="5.42578125" style="4" customWidth="1"/>
    <col min="8988" max="8988" width="80" style="4" customWidth="1"/>
    <col min="8989" max="8989" width="6.85546875" style="4" customWidth="1"/>
    <col min="8990" max="8990" width="18.7109375" style="4" customWidth="1"/>
    <col min="8991" max="8991" width="16.85546875" style="4" customWidth="1"/>
    <col min="8992" max="8995" width="0" style="4" hidden="1" customWidth="1"/>
    <col min="8996" max="8996" width="11.85546875" style="4"/>
    <col min="8997" max="8997" width="13.42578125" style="4" customWidth="1"/>
    <col min="8998" max="8998" width="13" style="4" customWidth="1"/>
    <col min="8999" max="9000" width="10.5703125" style="4" customWidth="1"/>
    <col min="9001" max="9001" width="9.42578125" style="4" customWidth="1"/>
    <col min="9002" max="9002" width="9.7109375" style="4" customWidth="1"/>
    <col min="9003" max="9003" width="8.140625" style="4" customWidth="1"/>
    <col min="9004" max="9004" width="9.140625" style="4" customWidth="1"/>
    <col min="9005" max="9239" width="11.85546875" style="4"/>
    <col min="9240" max="9240" width="4.140625" style="4" customWidth="1"/>
    <col min="9241" max="9241" width="3.85546875" style="4" customWidth="1"/>
    <col min="9242" max="9242" width="3.28515625" style="4" customWidth="1"/>
    <col min="9243" max="9243" width="5.42578125" style="4" customWidth="1"/>
    <col min="9244" max="9244" width="80" style="4" customWidth="1"/>
    <col min="9245" max="9245" width="6.85546875" style="4" customWidth="1"/>
    <col min="9246" max="9246" width="18.7109375" style="4" customWidth="1"/>
    <col min="9247" max="9247" width="16.85546875" style="4" customWidth="1"/>
    <col min="9248" max="9251" width="0" style="4" hidden="1" customWidth="1"/>
    <col min="9252" max="9252" width="11.85546875" style="4"/>
    <col min="9253" max="9253" width="13.42578125" style="4" customWidth="1"/>
    <col min="9254" max="9254" width="13" style="4" customWidth="1"/>
    <col min="9255" max="9256" width="10.5703125" style="4" customWidth="1"/>
    <col min="9257" max="9257" width="9.42578125" style="4" customWidth="1"/>
    <col min="9258" max="9258" width="9.7109375" style="4" customWidth="1"/>
    <col min="9259" max="9259" width="8.140625" style="4" customWidth="1"/>
    <col min="9260" max="9260" width="9.140625" style="4" customWidth="1"/>
    <col min="9261" max="9495" width="11.85546875" style="4"/>
    <col min="9496" max="9496" width="4.140625" style="4" customWidth="1"/>
    <col min="9497" max="9497" width="3.85546875" style="4" customWidth="1"/>
    <col min="9498" max="9498" width="3.28515625" style="4" customWidth="1"/>
    <col min="9499" max="9499" width="5.42578125" style="4" customWidth="1"/>
    <col min="9500" max="9500" width="80" style="4" customWidth="1"/>
    <col min="9501" max="9501" width="6.85546875" style="4" customWidth="1"/>
    <col min="9502" max="9502" width="18.7109375" style="4" customWidth="1"/>
    <col min="9503" max="9503" width="16.85546875" style="4" customWidth="1"/>
    <col min="9504" max="9507" width="0" style="4" hidden="1" customWidth="1"/>
    <col min="9508" max="9508" width="11.85546875" style="4"/>
    <col min="9509" max="9509" width="13.42578125" style="4" customWidth="1"/>
    <col min="9510" max="9510" width="13" style="4" customWidth="1"/>
    <col min="9511" max="9512" width="10.5703125" style="4" customWidth="1"/>
    <col min="9513" max="9513" width="9.42578125" style="4" customWidth="1"/>
    <col min="9514" max="9514" width="9.7109375" style="4" customWidth="1"/>
    <col min="9515" max="9515" width="8.140625" style="4" customWidth="1"/>
    <col min="9516" max="9516" width="9.140625" style="4" customWidth="1"/>
    <col min="9517" max="9751" width="11.85546875" style="4"/>
    <col min="9752" max="9752" width="4.140625" style="4" customWidth="1"/>
    <col min="9753" max="9753" width="3.85546875" style="4" customWidth="1"/>
    <col min="9754" max="9754" width="3.28515625" style="4" customWidth="1"/>
    <col min="9755" max="9755" width="5.42578125" style="4" customWidth="1"/>
    <col min="9756" max="9756" width="80" style="4" customWidth="1"/>
    <col min="9757" max="9757" width="6.85546875" style="4" customWidth="1"/>
    <col min="9758" max="9758" width="18.7109375" style="4" customWidth="1"/>
    <col min="9759" max="9759" width="16.85546875" style="4" customWidth="1"/>
    <col min="9760" max="9763" width="0" style="4" hidden="1" customWidth="1"/>
    <col min="9764" max="9764" width="11.85546875" style="4"/>
    <col min="9765" max="9765" width="13.42578125" style="4" customWidth="1"/>
    <col min="9766" max="9766" width="13" style="4" customWidth="1"/>
    <col min="9767" max="9768" width="10.5703125" style="4" customWidth="1"/>
    <col min="9769" max="9769" width="9.42578125" style="4" customWidth="1"/>
    <col min="9770" max="9770" width="9.7109375" style="4" customWidth="1"/>
    <col min="9771" max="9771" width="8.140625" style="4" customWidth="1"/>
    <col min="9772" max="9772" width="9.140625" style="4" customWidth="1"/>
    <col min="9773" max="10007" width="11.85546875" style="4"/>
    <col min="10008" max="10008" width="4.140625" style="4" customWidth="1"/>
    <col min="10009" max="10009" width="3.85546875" style="4" customWidth="1"/>
    <col min="10010" max="10010" width="3.28515625" style="4" customWidth="1"/>
    <col min="10011" max="10011" width="5.42578125" style="4" customWidth="1"/>
    <col min="10012" max="10012" width="80" style="4" customWidth="1"/>
    <col min="10013" max="10013" width="6.85546875" style="4" customWidth="1"/>
    <col min="10014" max="10014" width="18.7109375" style="4" customWidth="1"/>
    <col min="10015" max="10015" width="16.85546875" style="4" customWidth="1"/>
    <col min="10016" max="10019" width="0" style="4" hidden="1" customWidth="1"/>
    <col min="10020" max="10020" width="11.85546875" style="4"/>
    <col min="10021" max="10021" width="13.42578125" style="4" customWidth="1"/>
    <col min="10022" max="10022" width="13" style="4" customWidth="1"/>
    <col min="10023" max="10024" width="10.5703125" style="4" customWidth="1"/>
    <col min="10025" max="10025" width="9.42578125" style="4" customWidth="1"/>
    <col min="10026" max="10026" width="9.7109375" style="4" customWidth="1"/>
    <col min="10027" max="10027" width="8.140625" style="4" customWidth="1"/>
    <col min="10028" max="10028" width="9.140625" style="4" customWidth="1"/>
    <col min="10029" max="10263" width="11.85546875" style="4"/>
    <col min="10264" max="10264" width="4.140625" style="4" customWidth="1"/>
    <col min="10265" max="10265" width="3.85546875" style="4" customWidth="1"/>
    <col min="10266" max="10266" width="3.28515625" style="4" customWidth="1"/>
    <col min="10267" max="10267" width="5.42578125" style="4" customWidth="1"/>
    <col min="10268" max="10268" width="80" style="4" customWidth="1"/>
    <col min="10269" max="10269" width="6.85546875" style="4" customWidth="1"/>
    <col min="10270" max="10270" width="18.7109375" style="4" customWidth="1"/>
    <col min="10271" max="10271" width="16.85546875" style="4" customWidth="1"/>
    <col min="10272" max="10275" width="0" style="4" hidden="1" customWidth="1"/>
    <col min="10276" max="10276" width="11.85546875" style="4"/>
    <col min="10277" max="10277" width="13.42578125" style="4" customWidth="1"/>
    <col min="10278" max="10278" width="13" style="4" customWidth="1"/>
    <col min="10279" max="10280" width="10.5703125" style="4" customWidth="1"/>
    <col min="10281" max="10281" width="9.42578125" style="4" customWidth="1"/>
    <col min="10282" max="10282" width="9.7109375" style="4" customWidth="1"/>
    <col min="10283" max="10283" width="8.140625" style="4" customWidth="1"/>
    <col min="10284" max="10284" width="9.140625" style="4" customWidth="1"/>
    <col min="10285" max="10519" width="11.85546875" style="4"/>
    <col min="10520" max="10520" width="4.140625" style="4" customWidth="1"/>
    <col min="10521" max="10521" width="3.85546875" style="4" customWidth="1"/>
    <col min="10522" max="10522" width="3.28515625" style="4" customWidth="1"/>
    <col min="10523" max="10523" width="5.42578125" style="4" customWidth="1"/>
    <col min="10524" max="10524" width="80" style="4" customWidth="1"/>
    <col min="10525" max="10525" width="6.85546875" style="4" customWidth="1"/>
    <col min="10526" max="10526" width="18.7109375" style="4" customWidth="1"/>
    <col min="10527" max="10527" width="16.85546875" style="4" customWidth="1"/>
    <col min="10528" max="10531" width="0" style="4" hidden="1" customWidth="1"/>
    <col min="10532" max="10532" width="11.85546875" style="4"/>
    <col min="10533" max="10533" width="13.42578125" style="4" customWidth="1"/>
    <col min="10534" max="10534" width="13" style="4" customWidth="1"/>
    <col min="10535" max="10536" width="10.5703125" style="4" customWidth="1"/>
    <col min="10537" max="10537" width="9.42578125" style="4" customWidth="1"/>
    <col min="10538" max="10538" width="9.7109375" style="4" customWidth="1"/>
    <col min="10539" max="10539" width="8.140625" style="4" customWidth="1"/>
    <col min="10540" max="10540" width="9.140625" style="4" customWidth="1"/>
    <col min="10541" max="10775" width="11.85546875" style="4"/>
    <col min="10776" max="10776" width="4.140625" style="4" customWidth="1"/>
    <col min="10777" max="10777" width="3.85546875" style="4" customWidth="1"/>
    <col min="10778" max="10778" width="3.28515625" style="4" customWidth="1"/>
    <col min="10779" max="10779" width="5.42578125" style="4" customWidth="1"/>
    <col min="10780" max="10780" width="80" style="4" customWidth="1"/>
    <col min="10781" max="10781" width="6.85546875" style="4" customWidth="1"/>
    <col min="10782" max="10782" width="18.7109375" style="4" customWidth="1"/>
    <col min="10783" max="10783" width="16.85546875" style="4" customWidth="1"/>
    <col min="10784" max="10787" width="0" style="4" hidden="1" customWidth="1"/>
    <col min="10788" max="10788" width="11.85546875" style="4"/>
    <col min="10789" max="10789" width="13.42578125" style="4" customWidth="1"/>
    <col min="10790" max="10790" width="13" style="4" customWidth="1"/>
    <col min="10791" max="10792" width="10.5703125" style="4" customWidth="1"/>
    <col min="10793" max="10793" width="9.42578125" style="4" customWidth="1"/>
    <col min="10794" max="10794" width="9.7109375" style="4" customWidth="1"/>
    <col min="10795" max="10795" width="8.140625" style="4" customWidth="1"/>
    <col min="10796" max="10796" width="9.140625" style="4" customWidth="1"/>
    <col min="10797" max="11031" width="11.85546875" style="4"/>
    <col min="11032" max="11032" width="4.140625" style="4" customWidth="1"/>
    <col min="11033" max="11033" width="3.85546875" style="4" customWidth="1"/>
    <col min="11034" max="11034" width="3.28515625" style="4" customWidth="1"/>
    <col min="11035" max="11035" width="5.42578125" style="4" customWidth="1"/>
    <col min="11036" max="11036" width="80" style="4" customWidth="1"/>
    <col min="11037" max="11037" width="6.85546875" style="4" customWidth="1"/>
    <col min="11038" max="11038" width="18.7109375" style="4" customWidth="1"/>
    <col min="11039" max="11039" width="16.85546875" style="4" customWidth="1"/>
    <col min="11040" max="11043" width="0" style="4" hidden="1" customWidth="1"/>
    <col min="11044" max="11044" width="11.85546875" style="4"/>
    <col min="11045" max="11045" width="13.42578125" style="4" customWidth="1"/>
    <col min="11046" max="11046" width="13" style="4" customWidth="1"/>
    <col min="11047" max="11048" width="10.5703125" style="4" customWidth="1"/>
    <col min="11049" max="11049" width="9.42578125" style="4" customWidth="1"/>
    <col min="11050" max="11050" width="9.7109375" style="4" customWidth="1"/>
    <col min="11051" max="11051" width="8.140625" style="4" customWidth="1"/>
    <col min="11052" max="11052" width="9.140625" style="4" customWidth="1"/>
    <col min="11053" max="11287" width="11.85546875" style="4"/>
    <col min="11288" max="11288" width="4.140625" style="4" customWidth="1"/>
    <col min="11289" max="11289" width="3.85546875" style="4" customWidth="1"/>
    <col min="11290" max="11290" width="3.28515625" style="4" customWidth="1"/>
    <col min="11291" max="11291" width="5.42578125" style="4" customWidth="1"/>
    <col min="11292" max="11292" width="80" style="4" customWidth="1"/>
    <col min="11293" max="11293" width="6.85546875" style="4" customWidth="1"/>
    <col min="11294" max="11294" width="18.7109375" style="4" customWidth="1"/>
    <col min="11295" max="11295" width="16.85546875" style="4" customWidth="1"/>
    <col min="11296" max="11299" width="0" style="4" hidden="1" customWidth="1"/>
    <col min="11300" max="11300" width="11.85546875" style="4"/>
    <col min="11301" max="11301" width="13.42578125" style="4" customWidth="1"/>
    <col min="11302" max="11302" width="13" style="4" customWidth="1"/>
    <col min="11303" max="11304" width="10.5703125" style="4" customWidth="1"/>
    <col min="11305" max="11305" width="9.42578125" style="4" customWidth="1"/>
    <col min="11306" max="11306" width="9.7109375" style="4" customWidth="1"/>
    <col min="11307" max="11307" width="8.140625" style="4" customWidth="1"/>
    <col min="11308" max="11308" width="9.140625" style="4" customWidth="1"/>
    <col min="11309" max="11543" width="11.85546875" style="4"/>
    <col min="11544" max="11544" width="4.140625" style="4" customWidth="1"/>
    <col min="11545" max="11545" width="3.85546875" style="4" customWidth="1"/>
    <col min="11546" max="11546" width="3.28515625" style="4" customWidth="1"/>
    <col min="11547" max="11547" width="5.42578125" style="4" customWidth="1"/>
    <col min="11548" max="11548" width="80" style="4" customWidth="1"/>
    <col min="11549" max="11549" width="6.85546875" style="4" customWidth="1"/>
    <col min="11550" max="11550" width="18.7109375" style="4" customWidth="1"/>
    <col min="11551" max="11551" width="16.85546875" style="4" customWidth="1"/>
    <col min="11552" max="11555" width="0" style="4" hidden="1" customWidth="1"/>
    <col min="11556" max="11556" width="11.85546875" style="4"/>
    <col min="11557" max="11557" width="13.42578125" style="4" customWidth="1"/>
    <col min="11558" max="11558" width="13" style="4" customWidth="1"/>
    <col min="11559" max="11560" width="10.5703125" style="4" customWidth="1"/>
    <col min="11561" max="11561" width="9.42578125" style="4" customWidth="1"/>
    <col min="11562" max="11562" width="9.7109375" style="4" customWidth="1"/>
    <col min="11563" max="11563" width="8.140625" style="4" customWidth="1"/>
    <col min="11564" max="11564" width="9.140625" style="4" customWidth="1"/>
    <col min="11565" max="11799" width="11.85546875" style="4"/>
    <col min="11800" max="11800" width="4.140625" style="4" customWidth="1"/>
    <col min="11801" max="11801" width="3.85546875" style="4" customWidth="1"/>
    <col min="11802" max="11802" width="3.28515625" style="4" customWidth="1"/>
    <col min="11803" max="11803" width="5.42578125" style="4" customWidth="1"/>
    <col min="11804" max="11804" width="80" style="4" customWidth="1"/>
    <col min="11805" max="11805" width="6.85546875" style="4" customWidth="1"/>
    <col min="11806" max="11806" width="18.7109375" style="4" customWidth="1"/>
    <col min="11807" max="11807" width="16.85546875" style="4" customWidth="1"/>
    <col min="11808" max="11811" width="0" style="4" hidden="1" customWidth="1"/>
    <col min="11812" max="11812" width="11.85546875" style="4"/>
    <col min="11813" max="11813" width="13.42578125" style="4" customWidth="1"/>
    <col min="11814" max="11814" width="13" style="4" customWidth="1"/>
    <col min="11815" max="11816" width="10.5703125" style="4" customWidth="1"/>
    <col min="11817" max="11817" width="9.42578125" style="4" customWidth="1"/>
    <col min="11818" max="11818" width="9.7109375" style="4" customWidth="1"/>
    <col min="11819" max="11819" width="8.140625" style="4" customWidth="1"/>
    <col min="11820" max="11820" width="9.140625" style="4" customWidth="1"/>
    <col min="11821" max="12055" width="11.85546875" style="4"/>
    <col min="12056" max="12056" width="4.140625" style="4" customWidth="1"/>
    <col min="12057" max="12057" width="3.85546875" style="4" customWidth="1"/>
    <col min="12058" max="12058" width="3.28515625" style="4" customWidth="1"/>
    <col min="12059" max="12059" width="5.42578125" style="4" customWidth="1"/>
    <col min="12060" max="12060" width="80" style="4" customWidth="1"/>
    <col min="12061" max="12061" width="6.85546875" style="4" customWidth="1"/>
    <col min="12062" max="12062" width="18.7109375" style="4" customWidth="1"/>
    <col min="12063" max="12063" width="16.85546875" style="4" customWidth="1"/>
    <col min="12064" max="12067" width="0" style="4" hidden="1" customWidth="1"/>
    <col min="12068" max="12068" width="11.85546875" style="4"/>
    <col min="12069" max="12069" width="13.42578125" style="4" customWidth="1"/>
    <col min="12070" max="12070" width="13" style="4" customWidth="1"/>
    <col min="12071" max="12072" width="10.5703125" style="4" customWidth="1"/>
    <col min="12073" max="12073" width="9.42578125" style="4" customWidth="1"/>
    <col min="12074" max="12074" width="9.7109375" style="4" customWidth="1"/>
    <col min="12075" max="12075" width="8.140625" style="4" customWidth="1"/>
    <col min="12076" max="12076" width="9.140625" style="4" customWidth="1"/>
    <col min="12077" max="12311" width="11.85546875" style="4"/>
    <col min="12312" max="12312" width="4.140625" style="4" customWidth="1"/>
    <col min="12313" max="12313" width="3.85546875" style="4" customWidth="1"/>
    <col min="12314" max="12314" width="3.28515625" style="4" customWidth="1"/>
    <col min="12315" max="12315" width="5.42578125" style="4" customWidth="1"/>
    <col min="12316" max="12316" width="80" style="4" customWidth="1"/>
    <col min="12317" max="12317" width="6.85546875" style="4" customWidth="1"/>
    <col min="12318" max="12318" width="18.7109375" style="4" customWidth="1"/>
    <col min="12319" max="12319" width="16.85546875" style="4" customWidth="1"/>
    <col min="12320" max="12323" width="0" style="4" hidden="1" customWidth="1"/>
    <col min="12324" max="12324" width="11.85546875" style="4"/>
    <col min="12325" max="12325" width="13.42578125" style="4" customWidth="1"/>
    <col min="12326" max="12326" width="13" style="4" customWidth="1"/>
    <col min="12327" max="12328" width="10.5703125" style="4" customWidth="1"/>
    <col min="12329" max="12329" width="9.42578125" style="4" customWidth="1"/>
    <col min="12330" max="12330" width="9.7109375" style="4" customWidth="1"/>
    <col min="12331" max="12331" width="8.140625" style="4" customWidth="1"/>
    <col min="12332" max="12332" width="9.140625" style="4" customWidth="1"/>
    <col min="12333" max="12567" width="11.85546875" style="4"/>
    <col min="12568" max="12568" width="4.140625" style="4" customWidth="1"/>
    <col min="12569" max="12569" width="3.85546875" style="4" customWidth="1"/>
    <col min="12570" max="12570" width="3.28515625" style="4" customWidth="1"/>
    <col min="12571" max="12571" width="5.42578125" style="4" customWidth="1"/>
    <col min="12572" max="12572" width="80" style="4" customWidth="1"/>
    <col min="12573" max="12573" width="6.85546875" style="4" customWidth="1"/>
    <col min="12574" max="12574" width="18.7109375" style="4" customWidth="1"/>
    <col min="12575" max="12575" width="16.85546875" style="4" customWidth="1"/>
    <col min="12576" max="12579" width="0" style="4" hidden="1" customWidth="1"/>
    <col min="12580" max="12580" width="11.85546875" style="4"/>
    <col min="12581" max="12581" width="13.42578125" style="4" customWidth="1"/>
    <col min="12582" max="12582" width="13" style="4" customWidth="1"/>
    <col min="12583" max="12584" width="10.5703125" style="4" customWidth="1"/>
    <col min="12585" max="12585" width="9.42578125" style="4" customWidth="1"/>
    <col min="12586" max="12586" width="9.7109375" style="4" customWidth="1"/>
    <col min="12587" max="12587" width="8.140625" style="4" customWidth="1"/>
    <col min="12588" max="12588" width="9.140625" style="4" customWidth="1"/>
    <col min="12589" max="12823" width="11.85546875" style="4"/>
    <col min="12824" max="12824" width="4.140625" style="4" customWidth="1"/>
    <col min="12825" max="12825" width="3.85546875" style="4" customWidth="1"/>
    <col min="12826" max="12826" width="3.28515625" style="4" customWidth="1"/>
    <col min="12827" max="12827" width="5.42578125" style="4" customWidth="1"/>
    <col min="12828" max="12828" width="80" style="4" customWidth="1"/>
    <col min="12829" max="12829" width="6.85546875" style="4" customWidth="1"/>
    <col min="12830" max="12830" width="18.7109375" style="4" customWidth="1"/>
    <col min="12831" max="12831" width="16.85546875" style="4" customWidth="1"/>
    <col min="12832" max="12835" width="0" style="4" hidden="1" customWidth="1"/>
    <col min="12836" max="12836" width="11.85546875" style="4"/>
    <col min="12837" max="12837" width="13.42578125" style="4" customWidth="1"/>
    <col min="12838" max="12838" width="13" style="4" customWidth="1"/>
    <col min="12839" max="12840" width="10.5703125" style="4" customWidth="1"/>
    <col min="12841" max="12841" width="9.42578125" style="4" customWidth="1"/>
    <col min="12842" max="12842" width="9.7109375" style="4" customWidth="1"/>
    <col min="12843" max="12843" width="8.140625" style="4" customWidth="1"/>
    <col min="12844" max="12844" width="9.140625" style="4" customWidth="1"/>
    <col min="12845" max="13079" width="11.85546875" style="4"/>
    <col min="13080" max="13080" width="4.140625" style="4" customWidth="1"/>
    <col min="13081" max="13081" width="3.85546875" style="4" customWidth="1"/>
    <col min="13082" max="13082" width="3.28515625" style="4" customWidth="1"/>
    <col min="13083" max="13083" width="5.42578125" style="4" customWidth="1"/>
    <col min="13084" max="13084" width="80" style="4" customWidth="1"/>
    <col min="13085" max="13085" width="6.85546875" style="4" customWidth="1"/>
    <col min="13086" max="13086" width="18.7109375" style="4" customWidth="1"/>
    <col min="13087" max="13087" width="16.85546875" style="4" customWidth="1"/>
    <col min="13088" max="13091" width="0" style="4" hidden="1" customWidth="1"/>
    <col min="13092" max="13092" width="11.85546875" style="4"/>
    <col min="13093" max="13093" width="13.42578125" style="4" customWidth="1"/>
    <col min="13094" max="13094" width="13" style="4" customWidth="1"/>
    <col min="13095" max="13096" width="10.5703125" style="4" customWidth="1"/>
    <col min="13097" max="13097" width="9.42578125" style="4" customWidth="1"/>
    <col min="13098" max="13098" width="9.7109375" style="4" customWidth="1"/>
    <col min="13099" max="13099" width="8.140625" style="4" customWidth="1"/>
    <col min="13100" max="13100" width="9.140625" style="4" customWidth="1"/>
    <col min="13101" max="13335" width="11.85546875" style="4"/>
    <col min="13336" max="13336" width="4.140625" style="4" customWidth="1"/>
    <col min="13337" max="13337" width="3.85546875" style="4" customWidth="1"/>
    <col min="13338" max="13338" width="3.28515625" style="4" customWidth="1"/>
    <col min="13339" max="13339" width="5.42578125" style="4" customWidth="1"/>
    <col min="13340" max="13340" width="80" style="4" customWidth="1"/>
    <col min="13341" max="13341" width="6.85546875" style="4" customWidth="1"/>
    <col min="13342" max="13342" width="18.7109375" style="4" customWidth="1"/>
    <col min="13343" max="13343" width="16.85546875" style="4" customWidth="1"/>
    <col min="13344" max="13347" width="0" style="4" hidden="1" customWidth="1"/>
    <col min="13348" max="13348" width="11.85546875" style="4"/>
    <col min="13349" max="13349" width="13.42578125" style="4" customWidth="1"/>
    <col min="13350" max="13350" width="13" style="4" customWidth="1"/>
    <col min="13351" max="13352" width="10.5703125" style="4" customWidth="1"/>
    <col min="13353" max="13353" width="9.42578125" style="4" customWidth="1"/>
    <col min="13354" max="13354" width="9.7109375" style="4" customWidth="1"/>
    <col min="13355" max="13355" width="8.140625" style="4" customWidth="1"/>
    <col min="13356" max="13356" width="9.140625" style="4" customWidth="1"/>
    <col min="13357" max="13591" width="11.85546875" style="4"/>
    <col min="13592" max="13592" width="4.140625" style="4" customWidth="1"/>
    <col min="13593" max="13593" width="3.85546875" style="4" customWidth="1"/>
    <col min="13594" max="13594" width="3.28515625" style="4" customWidth="1"/>
    <col min="13595" max="13595" width="5.42578125" style="4" customWidth="1"/>
    <col min="13596" max="13596" width="80" style="4" customWidth="1"/>
    <col min="13597" max="13597" width="6.85546875" style="4" customWidth="1"/>
    <col min="13598" max="13598" width="18.7109375" style="4" customWidth="1"/>
    <col min="13599" max="13599" width="16.85546875" style="4" customWidth="1"/>
    <col min="13600" max="13603" width="0" style="4" hidden="1" customWidth="1"/>
    <col min="13604" max="13604" width="11.85546875" style="4"/>
    <col min="13605" max="13605" width="13.42578125" style="4" customWidth="1"/>
    <col min="13606" max="13606" width="13" style="4" customWidth="1"/>
    <col min="13607" max="13608" width="10.5703125" style="4" customWidth="1"/>
    <col min="13609" max="13609" width="9.42578125" style="4" customWidth="1"/>
    <col min="13610" max="13610" width="9.7109375" style="4" customWidth="1"/>
    <col min="13611" max="13611" width="8.140625" style="4" customWidth="1"/>
    <col min="13612" max="13612" width="9.140625" style="4" customWidth="1"/>
    <col min="13613" max="13847" width="11.85546875" style="4"/>
    <col min="13848" max="13848" width="4.140625" style="4" customWidth="1"/>
    <col min="13849" max="13849" width="3.85546875" style="4" customWidth="1"/>
    <col min="13850" max="13850" width="3.28515625" style="4" customWidth="1"/>
    <col min="13851" max="13851" width="5.42578125" style="4" customWidth="1"/>
    <col min="13852" max="13852" width="80" style="4" customWidth="1"/>
    <col min="13853" max="13853" width="6.85546875" style="4" customWidth="1"/>
    <col min="13854" max="13854" width="18.7109375" style="4" customWidth="1"/>
    <col min="13855" max="13855" width="16.85546875" style="4" customWidth="1"/>
    <col min="13856" max="13859" width="0" style="4" hidden="1" customWidth="1"/>
    <col min="13860" max="13860" width="11.85546875" style="4"/>
    <col min="13861" max="13861" width="13.42578125" style="4" customWidth="1"/>
    <col min="13862" max="13862" width="13" style="4" customWidth="1"/>
    <col min="13863" max="13864" width="10.5703125" style="4" customWidth="1"/>
    <col min="13865" max="13865" width="9.42578125" style="4" customWidth="1"/>
    <col min="13866" max="13866" width="9.7109375" style="4" customWidth="1"/>
    <col min="13867" max="13867" width="8.140625" style="4" customWidth="1"/>
    <col min="13868" max="13868" width="9.140625" style="4" customWidth="1"/>
    <col min="13869" max="14103" width="11.85546875" style="4"/>
    <col min="14104" max="14104" width="4.140625" style="4" customWidth="1"/>
    <col min="14105" max="14105" width="3.85546875" style="4" customWidth="1"/>
    <col min="14106" max="14106" width="3.28515625" style="4" customWidth="1"/>
    <col min="14107" max="14107" width="5.42578125" style="4" customWidth="1"/>
    <col min="14108" max="14108" width="80" style="4" customWidth="1"/>
    <col min="14109" max="14109" width="6.85546875" style="4" customWidth="1"/>
    <col min="14110" max="14110" width="18.7109375" style="4" customWidth="1"/>
    <col min="14111" max="14111" width="16.85546875" style="4" customWidth="1"/>
    <col min="14112" max="14115" width="0" style="4" hidden="1" customWidth="1"/>
    <col min="14116" max="14116" width="11.85546875" style="4"/>
    <col min="14117" max="14117" width="13.42578125" style="4" customWidth="1"/>
    <col min="14118" max="14118" width="13" style="4" customWidth="1"/>
    <col min="14119" max="14120" width="10.5703125" style="4" customWidth="1"/>
    <col min="14121" max="14121" width="9.42578125" style="4" customWidth="1"/>
    <col min="14122" max="14122" width="9.7109375" style="4" customWidth="1"/>
    <col min="14123" max="14123" width="8.140625" style="4" customWidth="1"/>
    <col min="14124" max="14124" width="9.140625" style="4" customWidth="1"/>
    <col min="14125" max="14359" width="11.85546875" style="4"/>
    <col min="14360" max="14360" width="4.140625" style="4" customWidth="1"/>
    <col min="14361" max="14361" width="3.85546875" style="4" customWidth="1"/>
    <col min="14362" max="14362" width="3.28515625" style="4" customWidth="1"/>
    <col min="14363" max="14363" width="5.42578125" style="4" customWidth="1"/>
    <col min="14364" max="14364" width="80" style="4" customWidth="1"/>
    <col min="14365" max="14365" width="6.85546875" style="4" customWidth="1"/>
    <col min="14366" max="14366" width="18.7109375" style="4" customWidth="1"/>
    <col min="14367" max="14367" width="16.85546875" style="4" customWidth="1"/>
    <col min="14368" max="14371" width="0" style="4" hidden="1" customWidth="1"/>
    <col min="14372" max="14372" width="11.85546875" style="4"/>
    <col min="14373" max="14373" width="13.42578125" style="4" customWidth="1"/>
    <col min="14374" max="14374" width="13" style="4" customWidth="1"/>
    <col min="14375" max="14376" width="10.5703125" style="4" customWidth="1"/>
    <col min="14377" max="14377" width="9.42578125" style="4" customWidth="1"/>
    <col min="14378" max="14378" width="9.7109375" style="4" customWidth="1"/>
    <col min="14379" max="14379" width="8.140625" style="4" customWidth="1"/>
    <col min="14380" max="14380" width="9.140625" style="4" customWidth="1"/>
    <col min="14381" max="16384" width="11.85546875" style="4"/>
  </cols>
  <sheetData>
    <row r="1" spans="1:13" ht="18.75" customHeight="1">
      <c r="A1" s="1" t="s">
        <v>0</v>
      </c>
      <c r="B1" s="2"/>
      <c r="C1" s="2"/>
      <c r="D1" s="2"/>
      <c r="E1" s="3"/>
      <c r="F1" s="223" t="s">
        <v>1</v>
      </c>
      <c r="G1" s="223"/>
      <c r="H1" s="223"/>
      <c r="I1" s="223"/>
      <c r="J1" s="223"/>
      <c r="K1" s="223"/>
      <c r="L1" s="223"/>
      <c r="M1" s="223"/>
    </row>
    <row r="2" spans="1:13" ht="15" customHeight="1">
      <c r="A2" s="1" t="s">
        <v>2</v>
      </c>
      <c r="B2" s="2"/>
      <c r="C2" s="2"/>
      <c r="D2" s="2"/>
      <c r="E2" s="3"/>
      <c r="F2" s="223" t="s">
        <v>441</v>
      </c>
      <c r="G2" s="223"/>
      <c r="H2" s="223"/>
      <c r="I2" s="223"/>
      <c r="J2" s="223"/>
      <c r="K2" s="223"/>
      <c r="L2" s="223"/>
      <c r="M2" s="223"/>
    </row>
    <row r="3" spans="1:13" ht="15" customHeight="1">
      <c r="A3" s="1" t="s">
        <v>3</v>
      </c>
      <c r="B3" s="2"/>
      <c r="C3" s="2"/>
      <c r="D3" s="2"/>
      <c r="E3" s="3"/>
      <c r="F3" s="223" t="s">
        <v>409</v>
      </c>
      <c r="G3" s="223"/>
      <c r="H3" s="223"/>
      <c r="I3" s="223"/>
      <c r="J3" s="223"/>
      <c r="K3" s="223"/>
      <c r="L3" s="223"/>
      <c r="M3" s="223"/>
    </row>
    <row r="4" spans="1:13" ht="15.75" customHeight="1">
      <c r="A4" s="1" t="s">
        <v>4</v>
      </c>
      <c r="B4" s="2"/>
      <c r="C4" s="2"/>
      <c r="D4" s="2"/>
      <c r="E4" s="3"/>
      <c r="F4" s="2"/>
      <c r="G4" s="2"/>
      <c r="H4" s="39"/>
      <c r="I4" s="5"/>
      <c r="J4" s="5"/>
      <c r="K4" s="5"/>
      <c r="L4" s="5"/>
      <c r="M4" s="39"/>
    </row>
    <row r="5" spans="1:13" ht="15.75">
      <c r="A5" s="225" t="s">
        <v>442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</row>
    <row r="6" spans="1:13" ht="15.75">
      <c r="A6" s="226" t="s">
        <v>432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</row>
    <row r="7" spans="1:13" s="7" customFormat="1" ht="15.75" customHeight="1" thickBot="1">
      <c r="A7" s="224" t="s">
        <v>5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</row>
    <row r="8" spans="1:13" s="113" customFormat="1" ht="31.5" customHeight="1">
      <c r="A8" s="229"/>
      <c r="B8" s="230"/>
      <c r="C8" s="230"/>
      <c r="D8" s="233" t="s">
        <v>6</v>
      </c>
      <c r="E8" s="234"/>
      <c r="F8" s="233" t="s">
        <v>7</v>
      </c>
      <c r="G8" s="241" t="s">
        <v>434</v>
      </c>
      <c r="H8" s="241" t="s">
        <v>435</v>
      </c>
      <c r="I8" s="238" t="s">
        <v>8</v>
      </c>
      <c r="J8" s="233" t="s">
        <v>421</v>
      </c>
      <c r="K8" s="233" t="s">
        <v>422</v>
      </c>
      <c r="L8" s="233" t="s">
        <v>8</v>
      </c>
      <c r="M8" s="240"/>
    </row>
    <row r="9" spans="1:13" s="114" customFormat="1" ht="49.5" customHeight="1" thickBot="1">
      <c r="A9" s="231"/>
      <c r="B9" s="232"/>
      <c r="C9" s="232"/>
      <c r="D9" s="235"/>
      <c r="E9" s="235"/>
      <c r="F9" s="232"/>
      <c r="G9" s="242"/>
      <c r="H9" s="242"/>
      <c r="I9" s="239"/>
      <c r="J9" s="232"/>
      <c r="K9" s="232"/>
      <c r="L9" s="112" t="s">
        <v>9</v>
      </c>
      <c r="M9" s="57" t="s">
        <v>10</v>
      </c>
    </row>
    <row r="10" spans="1:13" s="8" customFormat="1" ht="18" customHeight="1" thickBot="1">
      <c r="A10" s="182">
        <v>0</v>
      </c>
      <c r="B10" s="227">
        <v>1</v>
      </c>
      <c r="C10" s="228"/>
      <c r="D10" s="227">
        <v>2</v>
      </c>
      <c r="E10" s="228"/>
      <c r="F10" s="183">
        <v>3</v>
      </c>
      <c r="G10" s="183">
        <v>4</v>
      </c>
      <c r="H10" s="183">
        <v>5</v>
      </c>
      <c r="I10" s="183" t="s">
        <v>11</v>
      </c>
      <c r="J10" s="183">
        <v>7</v>
      </c>
      <c r="K10" s="183">
        <v>8</v>
      </c>
      <c r="L10" s="183">
        <v>9</v>
      </c>
      <c r="M10" s="184">
        <v>10</v>
      </c>
    </row>
    <row r="11" spans="1:13" s="9" customFormat="1" ht="22.5" customHeight="1" thickBot="1">
      <c r="A11" s="18" t="s">
        <v>12</v>
      </c>
      <c r="B11" s="19"/>
      <c r="C11" s="19"/>
      <c r="D11" s="245" t="s">
        <v>13</v>
      </c>
      <c r="E11" s="246"/>
      <c r="F11" s="19">
        <v>1</v>
      </c>
      <c r="G11" s="20">
        <f t="shared" ref="G11:H11" si="0">SUM(G12:G15)</f>
        <v>5806.7329999999993</v>
      </c>
      <c r="H11" s="20">
        <f t="shared" si="0"/>
        <v>5843.9600000000009</v>
      </c>
      <c r="I11" s="185">
        <f t="shared" ref="I11:I28" si="1">IF(H11=0,"0",H11/G11)</f>
        <v>1.0064110059821938</v>
      </c>
      <c r="J11" s="20">
        <f>SUM(J12:J15)</f>
        <v>5835.76</v>
      </c>
      <c r="K11" s="20">
        <f>SUM(K12:K15)</f>
        <v>5900.1</v>
      </c>
      <c r="L11" s="20">
        <f>IF(H11=0,"",J11/H11)</f>
        <v>0.99859684186750064</v>
      </c>
      <c r="M11" s="186">
        <f t="shared" ref="M11:M70" si="2">IF(J11=0,"",K11/J11)</f>
        <v>1.011025127832536</v>
      </c>
    </row>
    <row r="12" spans="1:13" ht="15.75" customHeight="1">
      <c r="A12" s="247"/>
      <c r="B12" s="10">
        <v>1</v>
      </c>
      <c r="C12" s="10"/>
      <c r="D12" s="250" t="s">
        <v>14</v>
      </c>
      <c r="E12" s="251"/>
      <c r="F12" s="10">
        <v>2</v>
      </c>
      <c r="G12" s="208">
        <f>Bis.2!J14</f>
        <v>5806.6039999999994</v>
      </c>
      <c r="H12" s="190">
        <f>Bis.2!N14</f>
        <v>5843.8600000000006</v>
      </c>
      <c r="I12" s="187">
        <f t="shared" si="1"/>
        <v>1.0064161427230101</v>
      </c>
      <c r="J12" s="11">
        <v>5835.66</v>
      </c>
      <c r="K12" s="11">
        <v>5900</v>
      </c>
      <c r="L12" s="11">
        <f>IF(H12=0,"",J12/H12)</f>
        <v>0.99859681785669052</v>
      </c>
      <c r="M12" s="11">
        <f t="shared" si="2"/>
        <v>1.0110253167593726</v>
      </c>
    </row>
    <row r="13" spans="1:13" ht="15.75" customHeight="1">
      <c r="A13" s="248"/>
      <c r="B13" s="12"/>
      <c r="C13" s="12"/>
      <c r="D13" s="13" t="s">
        <v>15</v>
      </c>
      <c r="E13" s="14" t="s">
        <v>16</v>
      </c>
      <c r="F13" s="12">
        <v>3</v>
      </c>
      <c r="G13" s="209">
        <v>0</v>
      </c>
      <c r="H13" s="170">
        <v>0</v>
      </c>
      <c r="I13" s="43" t="str">
        <f t="shared" si="1"/>
        <v>0</v>
      </c>
      <c r="J13" s="15">
        <v>0</v>
      </c>
      <c r="K13" s="15">
        <v>0</v>
      </c>
      <c r="L13" s="15">
        <v>0</v>
      </c>
      <c r="M13" s="11" t="str">
        <f t="shared" si="2"/>
        <v/>
      </c>
    </row>
    <row r="14" spans="1:13" ht="15.75" customHeight="1">
      <c r="A14" s="248"/>
      <c r="B14" s="12"/>
      <c r="C14" s="12"/>
      <c r="D14" s="13" t="s">
        <v>17</v>
      </c>
      <c r="E14" s="14" t="s">
        <v>18</v>
      </c>
      <c r="F14" s="12">
        <v>4</v>
      </c>
      <c r="G14" s="209">
        <v>0</v>
      </c>
      <c r="H14" s="170">
        <v>0</v>
      </c>
      <c r="I14" s="43" t="str">
        <f t="shared" si="1"/>
        <v>0</v>
      </c>
      <c r="J14" s="15">
        <v>0</v>
      </c>
      <c r="K14" s="15">
        <v>0</v>
      </c>
      <c r="L14" s="15">
        <v>0</v>
      </c>
      <c r="M14" s="11" t="str">
        <f t="shared" si="2"/>
        <v/>
      </c>
    </row>
    <row r="15" spans="1:13" ht="20.100000000000001" customHeight="1" thickBot="1">
      <c r="A15" s="249"/>
      <c r="B15" s="16">
        <v>2</v>
      </c>
      <c r="C15" s="16"/>
      <c r="D15" s="252" t="s">
        <v>19</v>
      </c>
      <c r="E15" s="249"/>
      <c r="F15" s="16">
        <v>5</v>
      </c>
      <c r="G15" s="210">
        <f>Bis.2!J34</f>
        <v>0.129</v>
      </c>
      <c r="H15" s="191">
        <f>Bis.2!N34</f>
        <v>0.1</v>
      </c>
      <c r="I15" s="188">
        <f t="shared" si="1"/>
        <v>0.77519379844961245</v>
      </c>
      <c r="J15" s="17">
        <v>0.1</v>
      </c>
      <c r="K15" s="17">
        <v>0.1</v>
      </c>
      <c r="L15" s="17">
        <f>IF(H15=0,"",J15/H15)</f>
        <v>1</v>
      </c>
      <c r="M15" s="199">
        <f t="shared" si="2"/>
        <v>1</v>
      </c>
    </row>
    <row r="16" spans="1:13" s="21" customFormat="1" ht="25.5" customHeight="1" thickBot="1">
      <c r="A16" s="18" t="s">
        <v>20</v>
      </c>
      <c r="B16" s="19"/>
      <c r="C16" s="19"/>
      <c r="D16" s="245" t="s">
        <v>21</v>
      </c>
      <c r="E16" s="246"/>
      <c r="F16" s="19">
        <v>6</v>
      </c>
      <c r="G16" s="20">
        <f t="shared" ref="G16:H16" si="3">G17+G29</f>
        <v>4655.53</v>
      </c>
      <c r="H16" s="20">
        <f t="shared" si="3"/>
        <v>5243.6009999999997</v>
      </c>
      <c r="I16" s="185">
        <f t="shared" si="1"/>
        <v>1.1263166599721193</v>
      </c>
      <c r="J16" s="20">
        <f>J17+J29</f>
        <v>5243.6</v>
      </c>
      <c r="K16" s="20">
        <f>K17+K29</f>
        <v>5301</v>
      </c>
      <c r="L16" s="20">
        <f>IF(H16=0,"",J16/H16)</f>
        <v>0.99999980929136312</v>
      </c>
      <c r="M16" s="186">
        <f t="shared" si="2"/>
        <v>1.0109466778549088</v>
      </c>
    </row>
    <row r="17" spans="1:13" ht="20.100000000000001" customHeight="1">
      <c r="A17" s="247"/>
      <c r="B17" s="10">
        <v>1</v>
      </c>
      <c r="C17" s="10"/>
      <c r="D17" s="250" t="s">
        <v>22</v>
      </c>
      <c r="E17" s="251"/>
      <c r="F17" s="10">
        <v>7</v>
      </c>
      <c r="G17" s="208">
        <f>Bis.2!J41</f>
        <v>4655.4830000000002</v>
      </c>
      <c r="H17" s="192">
        <f>Bis.2!N41</f>
        <v>5242.6009999999997</v>
      </c>
      <c r="I17" s="187">
        <f t="shared" si="1"/>
        <v>1.1261132303565493</v>
      </c>
      <c r="J17" s="11">
        <v>5242.6000000000004</v>
      </c>
      <c r="K17" s="11">
        <v>5300</v>
      </c>
      <c r="L17" s="11">
        <f>IF(H17=0,"",J17/H17)</f>
        <v>0.99999980925498633</v>
      </c>
      <c r="M17" s="11">
        <f t="shared" si="2"/>
        <v>1.0109487658795253</v>
      </c>
    </row>
    <row r="18" spans="1:13" ht="20.100000000000001" customHeight="1">
      <c r="A18" s="244"/>
      <c r="B18" s="248"/>
      <c r="C18" s="12" t="s">
        <v>23</v>
      </c>
      <c r="D18" s="243" t="s">
        <v>24</v>
      </c>
      <c r="E18" s="244"/>
      <c r="F18" s="12">
        <v>8</v>
      </c>
      <c r="G18" s="209">
        <f>Bis.2!J42</f>
        <v>1178.8879999999999</v>
      </c>
      <c r="H18" s="193">
        <f>Bis.2!N42</f>
        <v>1363.5</v>
      </c>
      <c r="I18" s="43">
        <f t="shared" si="1"/>
        <v>1.1565984215633716</v>
      </c>
      <c r="J18" s="15">
        <v>1363.5</v>
      </c>
      <c r="K18" s="15">
        <v>1400</v>
      </c>
      <c r="L18" s="15">
        <f>IF(H18=0,"",J18/H18)</f>
        <v>1</v>
      </c>
      <c r="M18" s="11">
        <f t="shared" si="2"/>
        <v>1.0267693436010268</v>
      </c>
    </row>
    <row r="19" spans="1:13" ht="21" customHeight="1">
      <c r="A19" s="244"/>
      <c r="B19" s="244"/>
      <c r="C19" s="12" t="s">
        <v>25</v>
      </c>
      <c r="D19" s="243" t="s">
        <v>26</v>
      </c>
      <c r="E19" s="244"/>
      <c r="F19" s="12">
        <v>9</v>
      </c>
      <c r="G19" s="168">
        <f>Bis.2!J90</f>
        <v>117.473</v>
      </c>
      <c r="H19" s="193">
        <f>Bis.2!N90</f>
        <v>155</v>
      </c>
      <c r="I19" s="43">
        <f t="shared" si="1"/>
        <v>1.3194521294254851</v>
      </c>
      <c r="J19" s="15">
        <v>120</v>
      </c>
      <c r="K19" s="15">
        <v>130</v>
      </c>
      <c r="L19" s="15">
        <f>IF(H19=0,"",J19/H19)</f>
        <v>0.77419354838709675</v>
      </c>
      <c r="M19" s="11">
        <f t="shared" si="2"/>
        <v>1.0833333333333333</v>
      </c>
    </row>
    <row r="20" spans="1:13" ht="22.5" customHeight="1" thickBot="1">
      <c r="A20" s="244"/>
      <c r="B20" s="244"/>
      <c r="C20" s="16" t="s">
        <v>27</v>
      </c>
      <c r="D20" s="252" t="s">
        <v>28</v>
      </c>
      <c r="E20" s="249"/>
      <c r="F20" s="16">
        <v>10</v>
      </c>
      <c r="G20" s="211">
        <f>Bis.2!J97</f>
        <v>2758.9300000000003</v>
      </c>
      <c r="H20" s="194">
        <f>Bis.2!N97</f>
        <v>3165.8009999999999</v>
      </c>
      <c r="I20" s="188">
        <f t="shared" si="1"/>
        <v>1.1474742019551056</v>
      </c>
      <c r="J20" s="22">
        <v>3300</v>
      </c>
      <c r="K20" s="22">
        <v>3400</v>
      </c>
      <c r="L20" s="22">
        <f>Bis.2!Q97</f>
        <v>0</v>
      </c>
      <c r="M20" s="199">
        <f t="shared" si="2"/>
        <v>1.0303030303030303</v>
      </c>
    </row>
    <row r="21" spans="1:13" ht="22.5" customHeight="1" thickBot="1">
      <c r="A21" s="244"/>
      <c r="B21" s="253"/>
      <c r="C21" s="23"/>
      <c r="D21" s="200" t="s">
        <v>29</v>
      </c>
      <c r="E21" s="201" t="s">
        <v>30</v>
      </c>
      <c r="F21" s="202">
        <v>11</v>
      </c>
      <c r="G21" s="203">
        <f>Bis.2!J98</f>
        <v>2667.8460000000005</v>
      </c>
      <c r="H21" s="206">
        <f>Bis.2!N98</f>
        <v>3057.3609999999999</v>
      </c>
      <c r="I21" s="189">
        <f t="shared" si="1"/>
        <v>1.1460035549278329</v>
      </c>
      <c r="J21" s="204">
        <f>J22+J23+J24+J26+J27</f>
        <v>3300</v>
      </c>
      <c r="K21" s="204">
        <f>K22+K23+K24+K26+K27</f>
        <v>3402</v>
      </c>
      <c r="L21" s="204">
        <f t="shared" ref="L21:L48" si="4">IF(H21=0,"",J21/H21)</f>
        <v>1.0793622342929081</v>
      </c>
      <c r="M21" s="205">
        <f t="shared" si="2"/>
        <v>1.030909090909091</v>
      </c>
    </row>
    <row r="22" spans="1:13" ht="20.100000000000001" customHeight="1">
      <c r="A22" s="244"/>
      <c r="B22" s="244"/>
      <c r="C22" s="247"/>
      <c r="D22" s="24" t="s">
        <v>31</v>
      </c>
      <c r="E22" s="25" t="s">
        <v>32</v>
      </c>
      <c r="F22" s="10">
        <v>12</v>
      </c>
      <c r="G22" s="212">
        <f>Bis.2!J99</f>
        <v>2257.1260000000002</v>
      </c>
      <c r="H22" s="207">
        <f>Bis.2!N99</f>
        <v>2763.5389999999998</v>
      </c>
      <c r="I22" s="187">
        <f t="shared" si="1"/>
        <v>1.2243618654873496</v>
      </c>
      <c r="J22" s="11">
        <v>2890</v>
      </c>
      <c r="K22" s="11">
        <v>2940</v>
      </c>
      <c r="L22" s="11">
        <f t="shared" si="4"/>
        <v>1.0457605266290797</v>
      </c>
      <c r="M22" s="11">
        <f t="shared" si="2"/>
        <v>1.0173010380622838</v>
      </c>
    </row>
    <row r="23" spans="1:13" ht="20.100000000000001" customHeight="1">
      <c r="A23" s="244"/>
      <c r="B23" s="244"/>
      <c r="C23" s="244"/>
      <c r="D23" s="26" t="s">
        <v>33</v>
      </c>
      <c r="E23" s="27" t="s">
        <v>34</v>
      </c>
      <c r="F23" s="12">
        <v>13</v>
      </c>
      <c r="G23" s="168">
        <f>Bis.2!J103</f>
        <v>410.72</v>
      </c>
      <c r="H23" s="195">
        <f>Bis.2!N103</f>
        <v>293.822</v>
      </c>
      <c r="I23" s="43">
        <f t="shared" si="1"/>
        <v>0.71538274250097389</v>
      </c>
      <c r="J23" s="15">
        <v>340</v>
      </c>
      <c r="K23" s="15">
        <v>390</v>
      </c>
      <c r="L23" s="15">
        <f t="shared" si="4"/>
        <v>1.1571631804289673</v>
      </c>
      <c r="M23" s="11">
        <f t="shared" si="2"/>
        <v>1.1470588235294117</v>
      </c>
    </row>
    <row r="24" spans="1:13" ht="16.5" customHeight="1">
      <c r="A24" s="244"/>
      <c r="B24" s="244"/>
      <c r="C24" s="244"/>
      <c r="D24" s="26" t="s">
        <v>35</v>
      </c>
      <c r="E24" s="27" t="s">
        <v>36</v>
      </c>
      <c r="F24" s="12">
        <v>14</v>
      </c>
      <c r="G24" s="168">
        <f>Bis.2!J111</f>
        <v>0</v>
      </c>
      <c r="H24" s="195">
        <f>Bis.2!N111</f>
        <v>0</v>
      </c>
      <c r="I24" s="43" t="str">
        <f t="shared" si="1"/>
        <v>0</v>
      </c>
      <c r="J24" s="13">
        <f>J25</f>
        <v>0</v>
      </c>
      <c r="K24" s="13">
        <f>K25</f>
        <v>0</v>
      </c>
      <c r="L24" s="15" t="str">
        <f t="shared" si="4"/>
        <v/>
      </c>
      <c r="M24" s="11" t="str">
        <f t="shared" si="2"/>
        <v/>
      </c>
    </row>
    <row r="25" spans="1:13" ht="18" customHeight="1">
      <c r="A25" s="244"/>
      <c r="B25" s="244"/>
      <c r="C25" s="244"/>
      <c r="D25" s="26"/>
      <c r="E25" s="13" t="s">
        <v>37</v>
      </c>
      <c r="F25" s="12">
        <v>15</v>
      </c>
      <c r="G25" s="168"/>
      <c r="H25" s="195"/>
      <c r="I25" s="43" t="str">
        <f t="shared" si="1"/>
        <v>0</v>
      </c>
      <c r="J25" s="13"/>
      <c r="K25" s="13"/>
      <c r="L25" s="15" t="str">
        <f t="shared" si="4"/>
        <v/>
      </c>
      <c r="M25" s="11" t="str">
        <f t="shared" si="2"/>
        <v/>
      </c>
    </row>
    <row r="26" spans="1:13" ht="28.5" customHeight="1">
      <c r="A26" s="244"/>
      <c r="B26" s="244"/>
      <c r="C26" s="244"/>
      <c r="D26" s="26" t="s">
        <v>38</v>
      </c>
      <c r="E26" s="13" t="s">
        <v>39</v>
      </c>
      <c r="F26" s="12">
        <v>16</v>
      </c>
      <c r="G26" s="168">
        <f>Bis.2!J115</f>
        <v>34.229999999999997</v>
      </c>
      <c r="H26" s="195">
        <f>Bis.2!N115</f>
        <v>41.44</v>
      </c>
      <c r="I26" s="43">
        <f t="shared" si="1"/>
        <v>1.2106339468302658</v>
      </c>
      <c r="J26" s="13">
        <v>0</v>
      </c>
      <c r="K26" s="13">
        <v>0</v>
      </c>
      <c r="L26" s="15">
        <f t="shared" si="4"/>
        <v>0</v>
      </c>
      <c r="M26" s="11" t="str">
        <f t="shared" si="2"/>
        <v/>
      </c>
    </row>
    <row r="27" spans="1:13" ht="17.25" customHeight="1">
      <c r="A27" s="244"/>
      <c r="B27" s="244"/>
      <c r="C27" s="244"/>
      <c r="D27" s="26" t="s">
        <v>40</v>
      </c>
      <c r="E27" s="13" t="s">
        <v>41</v>
      </c>
      <c r="F27" s="12">
        <v>17</v>
      </c>
      <c r="G27" s="168">
        <f>Bis.2!J124</f>
        <v>56.853999999999999</v>
      </c>
      <c r="H27" s="195">
        <f>Bis.2!N124</f>
        <v>67</v>
      </c>
      <c r="I27" s="43">
        <f t="shared" si="1"/>
        <v>1.1784571006437541</v>
      </c>
      <c r="J27" s="15">
        <v>70</v>
      </c>
      <c r="K27" s="15">
        <v>72</v>
      </c>
      <c r="L27" s="15">
        <f t="shared" si="4"/>
        <v>1.044776119402985</v>
      </c>
      <c r="M27" s="11">
        <f t="shared" si="2"/>
        <v>1.0285714285714285</v>
      </c>
    </row>
    <row r="28" spans="1:13" ht="17.25" customHeight="1">
      <c r="A28" s="244"/>
      <c r="B28" s="244"/>
      <c r="C28" s="12" t="s">
        <v>42</v>
      </c>
      <c r="D28" s="243" t="s">
        <v>43</v>
      </c>
      <c r="E28" s="244"/>
      <c r="F28" s="12">
        <v>18</v>
      </c>
      <c r="G28" s="168">
        <f>Bis.2!J125</f>
        <v>600.19200000000001</v>
      </c>
      <c r="H28" s="193">
        <f>Bis.2!N125</f>
        <v>558.29999999999995</v>
      </c>
      <c r="I28" s="43">
        <f t="shared" si="1"/>
        <v>0.930202335252719</v>
      </c>
      <c r="J28" s="13">
        <v>600</v>
      </c>
      <c r="K28" s="13">
        <v>600</v>
      </c>
      <c r="L28" s="15">
        <f t="shared" si="4"/>
        <v>1.0746910263299303</v>
      </c>
      <c r="M28" s="11">
        <f t="shared" si="2"/>
        <v>1</v>
      </c>
    </row>
    <row r="29" spans="1:13" ht="18.75" customHeight="1">
      <c r="A29" s="244"/>
      <c r="B29" s="12">
        <v>2</v>
      </c>
      <c r="C29" s="12"/>
      <c r="D29" s="243" t="s">
        <v>44</v>
      </c>
      <c r="E29" s="244"/>
      <c r="F29" s="12">
        <v>19</v>
      </c>
      <c r="G29" s="209">
        <f>Bis.2!J142</f>
        <v>4.7E-2</v>
      </c>
      <c r="H29" s="193">
        <f>Bis.2!N142</f>
        <v>1</v>
      </c>
      <c r="I29" s="43">
        <f t="shared" ref="I29:I48" si="5">IF(G29=0,"0",H29/G29)</f>
        <v>21.276595744680851</v>
      </c>
      <c r="J29" s="13">
        <v>1</v>
      </c>
      <c r="K29" s="13">
        <v>1</v>
      </c>
      <c r="L29" s="15">
        <f t="shared" si="4"/>
        <v>1</v>
      </c>
      <c r="M29" s="11">
        <f t="shared" si="2"/>
        <v>1</v>
      </c>
    </row>
    <row r="30" spans="1:13" s="33" customFormat="1" ht="15.75">
      <c r="A30" s="28" t="s">
        <v>45</v>
      </c>
      <c r="B30" s="28"/>
      <c r="C30" s="28"/>
      <c r="D30" s="236" t="s">
        <v>46</v>
      </c>
      <c r="E30" s="237"/>
      <c r="F30" s="28">
        <v>20</v>
      </c>
      <c r="G30" s="29">
        <f t="shared" ref="G30:H30" si="6">G11-G16</f>
        <v>1151.2029999999995</v>
      </c>
      <c r="H30" s="29">
        <f t="shared" si="6"/>
        <v>600.35900000000129</v>
      </c>
      <c r="I30" s="42">
        <f t="shared" si="5"/>
        <v>0.52150576397038706</v>
      </c>
      <c r="J30" s="30">
        <f>J11-J16</f>
        <v>592.15999999999985</v>
      </c>
      <c r="K30" s="31">
        <f>K11-K16</f>
        <v>599.10000000000036</v>
      </c>
      <c r="L30" s="32">
        <f t="shared" si="4"/>
        <v>0.98634317133581506</v>
      </c>
      <c r="M30" s="220">
        <f t="shared" si="2"/>
        <v>1.0117198054579852</v>
      </c>
    </row>
    <row r="31" spans="1:13" s="33" customFormat="1" ht="15.75">
      <c r="A31" s="28" t="s">
        <v>47</v>
      </c>
      <c r="B31" s="28">
        <v>1</v>
      </c>
      <c r="C31" s="28"/>
      <c r="D31" s="236" t="s">
        <v>48</v>
      </c>
      <c r="E31" s="237"/>
      <c r="F31" s="28">
        <v>21</v>
      </c>
      <c r="G31" s="29">
        <f>Bis.2!J153</f>
        <v>155.37899999999999</v>
      </c>
      <c r="H31" s="30">
        <f>Bis.2!N153</f>
        <v>96.057440000000213</v>
      </c>
      <c r="I31" s="42">
        <f t="shared" si="5"/>
        <v>0.61821378693388562</v>
      </c>
      <c r="J31" s="30">
        <f>J30*16%</f>
        <v>94.745599999999982</v>
      </c>
      <c r="K31" s="30">
        <v>54.59</v>
      </c>
      <c r="L31" s="32">
        <f t="shared" si="4"/>
        <v>0.98634317133581506</v>
      </c>
      <c r="M31" s="220">
        <f t="shared" si="2"/>
        <v>0.57617451364496097</v>
      </c>
    </row>
    <row r="32" spans="1:13" s="34" customFormat="1" ht="15.75">
      <c r="A32" s="35"/>
      <c r="B32" s="35">
        <v>2</v>
      </c>
      <c r="C32" s="35"/>
      <c r="D32" s="254" t="s">
        <v>49</v>
      </c>
      <c r="E32" s="255"/>
      <c r="F32" s="35">
        <v>22</v>
      </c>
      <c r="G32" s="213"/>
      <c r="H32" s="195"/>
      <c r="I32" s="43" t="str">
        <f t="shared" si="5"/>
        <v>0</v>
      </c>
      <c r="J32" s="37"/>
      <c r="K32" s="37"/>
      <c r="L32" s="15" t="str">
        <f t="shared" si="4"/>
        <v/>
      </c>
      <c r="M32" s="11" t="str">
        <f t="shared" si="2"/>
        <v/>
      </c>
    </row>
    <row r="33" spans="1:13" s="34" customFormat="1" ht="15">
      <c r="A33" s="35"/>
      <c r="B33" s="35">
        <v>3</v>
      </c>
      <c r="C33" s="35"/>
      <c r="D33" s="256" t="s">
        <v>50</v>
      </c>
      <c r="E33" s="256"/>
      <c r="F33" s="35">
        <v>23</v>
      </c>
      <c r="G33" s="213"/>
      <c r="H33" s="195"/>
      <c r="I33" s="43" t="str">
        <f t="shared" si="5"/>
        <v>0</v>
      </c>
      <c r="J33" s="37"/>
      <c r="K33" s="37"/>
      <c r="L33" s="15" t="str">
        <f t="shared" si="4"/>
        <v/>
      </c>
      <c r="M33" s="11" t="str">
        <f t="shared" si="2"/>
        <v/>
      </c>
    </row>
    <row r="34" spans="1:13" s="34" customFormat="1" ht="15">
      <c r="A34" s="35"/>
      <c r="B34" s="35">
        <v>4</v>
      </c>
      <c r="C34" s="35"/>
      <c r="D34" s="256" t="s">
        <v>51</v>
      </c>
      <c r="E34" s="256"/>
      <c r="F34" s="35">
        <v>24</v>
      </c>
      <c r="G34" s="213"/>
      <c r="H34" s="195"/>
      <c r="I34" s="43" t="str">
        <f t="shared" si="5"/>
        <v>0</v>
      </c>
      <c r="J34" s="37"/>
      <c r="K34" s="37"/>
      <c r="L34" s="15" t="str">
        <f t="shared" si="4"/>
        <v/>
      </c>
      <c r="M34" s="11" t="str">
        <f t="shared" si="2"/>
        <v/>
      </c>
    </row>
    <row r="35" spans="1:13" s="34" customFormat="1" ht="15">
      <c r="A35" s="35"/>
      <c r="B35" s="35">
        <v>5</v>
      </c>
      <c r="C35" s="35"/>
      <c r="D35" s="256" t="s">
        <v>52</v>
      </c>
      <c r="E35" s="256"/>
      <c r="F35" s="35">
        <v>25</v>
      </c>
      <c r="G35" s="213"/>
      <c r="H35" s="195"/>
      <c r="I35" s="43" t="str">
        <f t="shared" si="5"/>
        <v>0</v>
      </c>
      <c r="J35" s="37"/>
      <c r="K35" s="37"/>
      <c r="L35" s="15" t="str">
        <f t="shared" si="4"/>
        <v/>
      </c>
      <c r="M35" s="11" t="str">
        <f t="shared" si="2"/>
        <v/>
      </c>
    </row>
    <row r="36" spans="1:13" s="33" customFormat="1" ht="33" customHeight="1">
      <c r="A36" s="28" t="s">
        <v>53</v>
      </c>
      <c r="B36" s="28"/>
      <c r="C36" s="28"/>
      <c r="D36" s="236" t="s">
        <v>54</v>
      </c>
      <c r="E36" s="237"/>
      <c r="F36" s="28">
        <v>26</v>
      </c>
      <c r="G36" s="29">
        <f t="shared" ref="G36:H36" si="7">G30-G31-G32+G33-G34-G35</f>
        <v>995.8239999999995</v>
      </c>
      <c r="H36" s="29">
        <f t="shared" si="7"/>
        <v>504.30156000000107</v>
      </c>
      <c r="I36" s="42">
        <f t="shared" si="5"/>
        <v>0.50641635469721691</v>
      </c>
      <c r="J36" s="29">
        <f>J30-J31-J32+J33-J34-J35</f>
        <v>497.41439999999989</v>
      </c>
      <c r="K36" s="29">
        <f>K30-K31-K32+K33-K34-K35</f>
        <v>544.51000000000033</v>
      </c>
      <c r="L36" s="32">
        <f t="shared" si="4"/>
        <v>0.98634317133581506</v>
      </c>
      <c r="M36" s="220">
        <f t="shared" si="2"/>
        <v>1.0946808134223707</v>
      </c>
    </row>
    <row r="37" spans="1:13" s="6" customFormat="1" ht="18.75" customHeight="1">
      <c r="A37" s="248"/>
      <c r="B37" s="35">
        <v>1</v>
      </c>
      <c r="C37" s="35"/>
      <c r="D37" s="259" t="s">
        <v>55</v>
      </c>
      <c r="E37" s="260"/>
      <c r="F37" s="35">
        <v>27</v>
      </c>
      <c r="G37" s="213">
        <v>56.64</v>
      </c>
      <c r="H37" s="196">
        <f>H30*5%</f>
        <v>30.017950000000067</v>
      </c>
      <c r="I37" s="43">
        <f t="shared" si="5"/>
        <v>0.52997793079096167</v>
      </c>
      <c r="J37" s="36">
        <f>J30*5%</f>
        <v>29.607999999999993</v>
      </c>
      <c r="K37" s="36">
        <f>K30*5%</f>
        <v>29.95500000000002</v>
      </c>
      <c r="L37" s="15">
        <f t="shared" si="4"/>
        <v>0.98634317133581495</v>
      </c>
      <c r="M37" s="11">
        <f t="shared" si="2"/>
        <v>1.0117198054579852</v>
      </c>
    </row>
    <row r="38" spans="1:13" s="2" customFormat="1" ht="18" customHeight="1">
      <c r="A38" s="244"/>
      <c r="B38" s="12">
        <v>2</v>
      </c>
      <c r="C38" s="12"/>
      <c r="D38" s="243" t="s">
        <v>56</v>
      </c>
      <c r="E38" s="244"/>
      <c r="F38" s="12">
        <v>28</v>
      </c>
      <c r="G38" s="213">
        <v>0</v>
      </c>
      <c r="H38" s="193">
        <v>0</v>
      </c>
      <c r="I38" s="43" t="str">
        <f t="shared" si="5"/>
        <v>0</v>
      </c>
      <c r="J38" s="37">
        <f>' Bis.1'!J33+[1]liv1!N33</f>
        <v>0</v>
      </c>
      <c r="K38" s="37">
        <f>' Bis.1'!K33+[1]liv1!O33</f>
        <v>0</v>
      </c>
      <c r="L38" s="15" t="str">
        <f t="shared" si="4"/>
        <v/>
      </c>
      <c r="M38" s="11" t="str">
        <f t="shared" si="2"/>
        <v/>
      </c>
    </row>
    <row r="39" spans="1:13" s="2" customFormat="1" ht="21.75" customHeight="1">
      <c r="A39" s="244"/>
      <c r="B39" s="12">
        <v>3</v>
      </c>
      <c r="C39" s="12"/>
      <c r="D39" s="243" t="s">
        <v>57</v>
      </c>
      <c r="E39" s="244"/>
      <c r="F39" s="12">
        <v>29</v>
      </c>
      <c r="G39" s="213">
        <v>0</v>
      </c>
      <c r="H39" s="193">
        <v>0</v>
      </c>
      <c r="I39" s="43" t="str">
        <f t="shared" si="5"/>
        <v>0</v>
      </c>
      <c r="J39" s="37">
        <f>' Bis.1'!J34+[1]liv1!N34</f>
        <v>0</v>
      </c>
      <c r="K39" s="37">
        <f>' Bis.1'!K34+[1]liv1!O34</f>
        <v>0</v>
      </c>
      <c r="L39" s="15" t="str">
        <f t="shared" si="4"/>
        <v/>
      </c>
      <c r="M39" s="11" t="str">
        <f t="shared" si="2"/>
        <v/>
      </c>
    </row>
    <row r="40" spans="1:13" s="2" customFormat="1" ht="44.25" customHeight="1">
      <c r="A40" s="244"/>
      <c r="B40" s="12">
        <v>4</v>
      </c>
      <c r="C40" s="12"/>
      <c r="D40" s="243" t="s">
        <v>58</v>
      </c>
      <c r="E40" s="244"/>
      <c r="F40" s="12">
        <v>30</v>
      </c>
      <c r="G40" s="213">
        <v>0</v>
      </c>
      <c r="H40" s="193">
        <v>0</v>
      </c>
      <c r="I40" s="43" t="str">
        <f t="shared" si="5"/>
        <v>0</v>
      </c>
      <c r="J40" s="37">
        <f>' Bis.1'!J35+[1]liv1!N35</f>
        <v>0</v>
      </c>
      <c r="K40" s="37">
        <f>' Bis.1'!K35+[1]liv1!O35</f>
        <v>0</v>
      </c>
      <c r="L40" s="15" t="str">
        <f t="shared" si="4"/>
        <v/>
      </c>
      <c r="M40" s="11" t="str">
        <f t="shared" si="2"/>
        <v/>
      </c>
    </row>
    <row r="41" spans="1:13" s="2" customFormat="1" ht="18.75" customHeight="1">
      <c r="A41" s="244"/>
      <c r="B41" s="12">
        <v>5</v>
      </c>
      <c r="C41" s="12"/>
      <c r="D41" s="243" t="s">
        <v>59</v>
      </c>
      <c r="E41" s="244"/>
      <c r="F41" s="12">
        <v>31</v>
      </c>
      <c r="G41" s="213">
        <v>0</v>
      </c>
      <c r="H41" s="193">
        <v>0</v>
      </c>
      <c r="I41" s="43" t="str">
        <f t="shared" si="5"/>
        <v>0</v>
      </c>
      <c r="J41" s="37">
        <v>0</v>
      </c>
      <c r="K41" s="37">
        <v>0</v>
      </c>
      <c r="L41" s="15" t="str">
        <f t="shared" si="4"/>
        <v/>
      </c>
      <c r="M41" s="11" t="str">
        <f t="shared" si="2"/>
        <v/>
      </c>
    </row>
    <row r="42" spans="1:13" s="39" customFormat="1" ht="32.25" customHeight="1">
      <c r="A42" s="244"/>
      <c r="B42" s="28">
        <v>6</v>
      </c>
      <c r="C42" s="28"/>
      <c r="D42" s="236" t="s">
        <v>60</v>
      </c>
      <c r="E42" s="236"/>
      <c r="F42" s="28">
        <v>32</v>
      </c>
      <c r="G42" s="29">
        <f t="shared" ref="G42:H42" si="8">G36-G37-G38-G39-G40-G41</f>
        <v>939.18399999999951</v>
      </c>
      <c r="H42" s="29">
        <f t="shared" si="8"/>
        <v>474.28361000000103</v>
      </c>
      <c r="I42" s="221">
        <f t="shared" si="5"/>
        <v>0.50499541090989764</v>
      </c>
      <c r="J42" s="29">
        <f>J36-J37-J38-J39-J40-J41</f>
        <v>467.80639999999988</v>
      </c>
      <c r="K42" s="29">
        <f>K36-K37-K38-K39-K40-K41</f>
        <v>514.55500000000029</v>
      </c>
      <c r="L42" s="30">
        <f t="shared" si="4"/>
        <v>0.98634317133581506</v>
      </c>
      <c r="M42" s="222">
        <f t="shared" si="2"/>
        <v>1.0999315101289773</v>
      </c>
    </row>
    <row r="43" spans="1:13" s="2" customFormat="1" ht="43.5" customHeight="1">
      <c r="A43" s="244"/>
      <c r="B43" s="12">
        <v>7</v>
      </c>
      <c r="C43" s="12"/>
      <c r="D43" s="243" t="s">
        <v>61</v>
      </c>
      <c r="E43" s="244"/>
      <c r="F43" s="12">
        <v>33</v>
      </c>
      <c r="G43" s="213">
        <v>0</v>
      </c>
      <c r="H43" s="193">
        <v>0</v>
      </c>
      <c r="I43" s="43" t="str">
        <f t="shared" si="5"/>
        <v>0</v>
      </c>
      <c r="J43" s="37">
        <f>' Bis.1'!J38+[1]liv1!N38</f>
        <v>0</v>
      </c>
      <c r="K43" s="37">
        <f>' Bis.1'!K38+[1]liv1!O38</f>
        <v>0</v>
      </c>
      <c r="L43" s="15" t="str">
        <f t="shared" si="4"/>
        <v/>
      </c>
      <c r="M43" s="11" t="str">
        <f t="shared" si="2"/>
        <v/>
      </c>
    </row>
    <row r="44" spans="1:13" s="38" customFormat="1" ht="63.75" customHeight="1">
      <c r="A44" s="244"/>
      <c r="B44" s="28">
        <v>8</v>
      </c>
      <c r="C44" s="28"/>
      <c r="D44" s="236" t="s">
        <v>62</v>
      </c>
      <c r="E44" s="237"/>
      <c r="F44" s="28">
        <v>34</v>
      </c>
      <c r="G44" s="29">
        <f t="shared" ref="G44:H44" si="9">G42/2</f>
        <v>469.59199999999976</v>
      </c>
      <c r="H44" s="29">
        <f t="shared" si="9"/>
        <v>237.14180500000052</v>
      </c>
      <c r="I44" s="42">
        <f t="shared" si="5"/>
        <v>0.50499541090989764</v>
      </c>
      <c r="J44" s="29">
        <f>J42/2</f>
        <v>233.90319999999994</v>
      </c>
      <c r="K44" s="29">
        <f>K42/2</f>
        <v>257.27750000000015</v>
      </c>
      <c r="L44" s="32">
        <f t="shared" si="4"/>
        <v>0.98634317133581506</v>
      </c>
      <c r="M44" s="220">
        <f t="shared" si="2"/>
        <v>1.0999315101289773</v>
      </c>
    </row>
    <row r="45" spans="1:13" s="2" customFormat="1" ht="15.75">
      <c r="A45" s="244"/>
      <c r="B45" s="12"/>
      <c r="C45" s="12" t="s">
        <v>15</v>
      </c>
      <c r="D45" s="243" t="s">
        <v>63</v>
      </c>
      <c r="E45" s="244"/>
      <c r="F45" s="12">
        <v>35</v>
      </c>
      <c r="G45" s="213">
        <f>' Bis.1'!G40+[1]liv1!G40</f>
        <v>0</v>
      </c>
      <c r="H45" s="193">
        <v>0</v>
      </c>
      <c r="I45" s="43" t="str">
        <f t="shared" si="5"/>
        <v>0</v>
      </c>
      <c r="J45" s="37">
        <v>0</v>
      </c>
      <c r="K45" s="37">
        <f>' Bis.1'!K40+[1]liv1!O40</f>
        <v>0</v>
      </c>
      <c r="L45" s="15" t="str">
        <f t="shared" si="4"/>
        <v/>
      </c>
      <c r="M45" s="11" t="str">
        <f t="shared" si="2"/>
        <v/>
      </c>
    </row>
    <row r="46" spans="1:13" s="2" customFormat="1" ht="15.75">
      <c r="A46" s="244"/>
      <c r="B46" s="35"/>
      <c r="C46" s="35" t="s">
        <v>17</v>
      </c>
      <c r="D46" s="243" t="s">
        <v>64</v>
      </c>
      <c r="E46" s="244"/>
      <c r="F46" s="35">
        <v>36</v>
      </c>
      <c r="G46" s="213">
        <v>0</v>
      </c>
      <c r="H46" s="193">
        <v>0</v>
      </c>
      <c r="I46" s="43" t="str">
        <f t="shared" si="5"/>
        <v>0</v>
      </c>
      <c r="J46" s="37">
        <v>0</v>
      </c>
      <c r="K46" s="37">
        <v>0</v>
      </c>
      <c r="L46" s="15" t="str">
        <f t="shared" si="4"/>
        <v/>
      </c>
      <c r="M46" s="11" t="str">
        <f t="shared" si="2"/>
        <v/>
      </c>
    </row>
    <row r="47" spans="1:13" s="2" customFormat="1" ht="15.75">
      <c r="A47" s="244"/>
      <c r="B47" s="35"/>
      <c r="C47" s="35" t="s">
        <v>65</v>
      </c>
      <c r="D47" s="243" t="s">
        <v>66</v>
      </c>
      <c r="E47" s="244"/>
      <c r="F47" s="35">
        <v>37</v>
      </c>
      <c r="G47" s="213">
        <v>0</v>
      </c>
      <c r="H47" s="193">
        <v>0</v>
      </c>
      <c r="I47" s="43" t="str">
        <f t="shared" si="5"/>
        <v>0</v>
      </c>
      <c r="J47" s="37">
        <v>0</v>
      </c>
      <c r="K47" s="37">
        <v>0</v>
      </c>
      <c r="L47" s="15" t="str">
        <f t="shared" si="4"/>
        <v/>
      </c>
      <c r="M47" s="11" t="str">
        <f t="shared" si="2"/>
        <v/>
      </c>
    </row>
    <row r="48" spans="1:13" s="39" customFormat="1" ht="34.5" customHeight="1">
      <c r="A48" s="244"/>
      <c r="B48" s="28">
        <v>9</v>
      </c>
      <c r="C48" s="28"/>
      <c r="D48" s="236" t="s">
        <v>67</v>
      </c>
      <c r="E48" s="237"/>
      <c r="F48" s="28">
        <v>38</v>
      </c>
      <c r="G48" s="29">
        <f t="shared" ref="G48:H48" si="10">G42-G43-G44</f>
        <v>469.59199999999976</v>
      </c>
      <c r="H48" s="29">
        <f t="shared" si="10"/>
        <v>237.14180500000052</v>
      </c>
      <c r="I48" s="221">
        <f t="shared" si="5"/>
        <v>0.50499541090989764</v>
      </c>
      <c r="J48" s="29">
        <f>J42-J43-J44</f>
        <v>233.90319999999994</v>
      </c>
      <c r="K48" s="29">
        <f>K42-K43-K44</f>
        <v>257.27750000000015</v>
      </c>
      <c r="L48" s="30">
        <f t="shared" si="4"/>
        <v>0.98634317133581506</v>
      </c>
      <c r="M48" s="220">
        <f t="shared" si="2"/>
        <v>1.0999315101289773</v>
      </c>
    </row>
    <row r="49" spans="1:13" s="41" customFormat="1" ht="15">
      <c r="A49" s="40" t="s">
        <v>68</v>
      </c>
      <c r="B49" s="40"/>
      <c r="C49" s="40"/>
      <c r="D49" s="257" t="s">
        <v>69</v>
      </c>
      <c r="E49" s="258"/>
      <c r="F49" s="40">
        <v>39</v>
      </c>
      <c r="G49" s="197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220" t="str">
        <f t="shared" si="2"/>
        <v/>
      </c>
    </row>
    <row r="50" spans="1:13" s="41" customFormat="1" ht="15">
      <c r="A50" s="40" t="s">
        <v>70</v>
      </c>
      <c r="B50" s="40"/>
      <c r="C50" s="40"/>
      <c r="D50" s="257" t="s">
        <v>71</v>
      </c>
      <c r="E50" s="258"/>
      <c r="F50" s="40">
        <v>40</v>
      </c>
      <c r="G50" s="197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220" t="str">
        <f t="shared" si="2"/>
        <v/>
      </c>
    </row>
    <row r="51" spans="1:13" s="2" customFormat="1" ht="15">
      <c r="A51" s="248"/>
      <c r="B51" s="248"/>
      <c r="C51" s="12" t="s">
        <v>15</v>
      </c>
      <c r="D51" s="243" t="s">
        <v>72</v>
      </c>
      <c r="E51" s="244"/>
      <c r="F51" s="12">
        <v>41</v>
      </c>
      <c r="G51" s="213">
        <v>0</v>
      </c>
      <c r="H51" s="195">
        <v>0</v>
      </c>
      <c r="I51" s="15">
        <v>0</v>
      </c>
      <c r="J51" s="15">
        <v>0</v>
      </c>
      <c r="K51" s="15">
        <v>0</v>
      </c>
      <c r="L51" s="15">
        <v>0</v>
      </c>
      <c r="M51" s="11" t="str">
        <f t="shared" si="2"/>
        <v/>
      </c>
    </row>
    <row r="52" spans="1:13" s="2" customFormat="1" ht="15">
      <c r="A52" s="244"/>
      <c r="B52" s="244"/>
      <c r="C52" s="12" t="s">
        <v>17</v>
      </c>
      <c r="D52" s="243" t="s">
        <v>73</v>
      </c>
      <c r="E52" s="244"/>
      <c r="F52" s="12">
        <v>42</v>
      </c>
      <c r="G52" s="213">
        <v>0</v>
      </c>
      <c r="H52" s="195">
        <v>0</v>
      </c>
      <c r="I52" s="15">
        <f>' Bis.1'!I47+[1]liv1!M47</f>
        <v>0</v>
      </c>
      <c r="J52" s="15">
        <v>0</v>
      </c>
      <c r="K52" s="15">
        <v>0</v>
      </c>
      <c r="L52" s="15">
        <v>0</v>
      </c>
      <c r="M52" s="11" t="str">
        <f t="shared" si="2"/>
        <v/>
      </c>
    </row>
    <row r="53" spans="1:13" s="2" customFormat="1" ht="15">
      <c r="A53" s="244"/>
      <c r="B53" s="244"/>
      <c r="C53" s="12" t="s">
        <v>65</v>
      </c>
      <c r="D53" s="243" t="s">
        <v>74</v>
      </c>
      <c r="E53" s="244"/>
      <c r="F53" s="12">
        <v>43</v>
      </c>
      <c r="G53" s="213">
        <v>0</v>
      </c>
      <c r="H53" s="195">
        <v>0</v>
      </c>
      <c r="I53" s="15">
        <v>0</v>
      </c>
      <c r="J53" s="15">
        <v>0</v>
      </c>
      <c r="K53" s="15">
        <v>0</v>
      </c>
      <c r="L53" s="15">
        <v>0</v>
      </c>
      <c r="M53" s="11" t="str">
        <f t="shared" si="2"/>
        <v/>
      </c>
    </row>
    <row r="54" spans="1:13" s="2" customFormat="1" ht="15">
      <c r="A54" s="244"/>
      <c r="B54" s="244"/>
      <c r="C54" s="12" t="s">
        <v>75</v>
      </c>
      <c r="D54" s="243" t="s">
        <v>76</v>
      </c>
      <c r="E54" s="244"/>
      <c r="F54" s="12">
        <v>44</v>
      </c>
      <c r="G54" s="213">
        <v>0</v>
      </c>
      <c r="H54" s="195">
        <v>0</v>
      </c>
      <c r="I54" s="15">
        <v>0</v>
      </c>
      <c r="J54" s="15">
        <v>0</v>
      </c>
      <c r="K54" s="15">
        <v>0</v>
      </c>
      <c r="L54" s="15">
        <v>0</v>
      </c>
      <c r="M54" s="11" t="str">
        <f t="shared" si="2"/>
        <v/>
      </c>
    </row>
    <row r="55" spans="1:13" s="2" customFormat="1" ht="15">
      <c r="A55" s="244"/>
      <c r="B55" s="244"/>
      <c r="C55" s="12" t="s">
        <v>77</v>
      </c>
      <c r="D55" s="243" t="s">
        <v>78</v>
      </c>
      <c r="E55" s="244"/>
      <c r="F55" s="12">
        <v>45</v>
      </c>
      <c r="G55" s="213">
        <f>' Bis.1'!G50+[1]liv1!G50</f>
        <v>0</v>
      </c>
      <c r="H55" s="195">
        <v>0</v>
      </c>
      <c r="I55" s="15">
        <v>0</v>
      </c>
      <c r="J55" s="15">
        <v>0</v>
      </c>
      <c r="K55" s="15">
        <v>0</v>
      </c>
      <c r="L55" s="15">
        <v>0</v>
      </c>
      <c r="M55" s="11" t="str">
        <f t="shared" si="2"/>
        <v/>
      </c>
    </row>
    <row r="56" spans="1:13" s="41" customFormat="1" ht="15">
      <c r="A56" s="40" t="s">
        <v>79</v>
      </c>
      <c r="B56" s="40"/>
      <c r="C56" s="40"/>
      <c r="D56" s="257" t="s">
        <v>80</v>
      </c>
      <c r="E56" s="258"/>
      <c r="F56" s="40">
        <v>46</v>
      </c>
      <c r="G56" s="197">
        <v>0</v>
      </c>
      <c r="H56" s="32">
        <v>0</v>
      </c>
      <c r="I56" s="42" t="str">
        <f t="shared" ref="I56:I70" si="11">IF(G56=0,"0",H56/G56)</f>
        <v>0</v>
      </c>
      <c r="J56" s="32">
        <f>' Bis.1'!J51+[1]liv1!N51</f>
        <v>0</v>
      </c>
      <c r="K56" s="32">
        <f>' Bis.1'!K51+[1]liv1!O51</f>
        <v>0</v>
      </c>
      <c r="L56" s="32">
        <v>0</v>
      </c>
      <c r="M56" s="220" t="str">
        <f t="shared" si="2"/>
        <v/>
      </c>
    </row>
    <row r="57" spans="1:13" s="2" customFormat="1" ht="15">
      <c r="A57" s="12"/>
      <c r="B57" s="12">
        <v>1</v>
      </c>
      <c r="C57" s="12"/>
      <c r="D57" s="243" t="s">
        <v>81</v>
      </c>
      <c r="E57" s="244"/>
      <c r="F57" s="12">
        <v>47</v>
      </c>
      <c r="G57" s="213">
        <v>0</v>
      </c>
      <c r="H57" s="195">
        <v>0</v>
      </c>
      <c r="I57" s="43" t="str">
        <f t="shared" si="11"/>
        <v>0</v>
      </c>
      <c r="J57" s="37">
        <f>' Bis.1'!J52+[1]liv1!N52</f>
        <v>0</v>
      </c>
      <c r="K57" s="37">
        <f>' Bis.1'!K52+[1]liv1!O52</f>
        <v>0</v>
      </c>
      <c r="L57" s="15">
        <v>0</v>
      </c>
      <c r="M57" s="11" t="str">
        <f t="shared" si="2"/>
        <v/>
      </c>
    </row>
    <row r="58" spans="1:13" s="2" customFormat="1" ht="17.25" customHeight="1">
      <c r="A58" s="12"/>
      <c r="B58" s="12"/>
      <c r="C58" s="12"/>
      <c r="D58" s="13"/>
      <c r="E58" s="44" t="s">
        <v>82</v>
      </c>
      <c r="F58" s="12">
        <v>48</v>
      </c>
      <c r="G58" s="213">
        <v>0</v>
      </c>
      <c r="H58" s="195">
        <v>0</v>
      </c>
      <c r="I58" s="43" t="str">
        <f t="shared" si="11"/>
        <v>0</v>
      </c>
      <c r="J58" s="37">
        <f>' Bis.1'!J53+[1]liv1!N53</f>
        <v>0</v>
      </c>
      <c r="K58" s="37">
        <f>' Bis.1'!K53+[1]liv1!O53</f>
        <v>0</v>
      </c>
      <c r="L58" s="15" t="str">
        <f t="shared" ref="L58:L70" si="12">IF(H58=0,"",J58/H58)</f>
        <v/>
      </c>
      <c r="M58" s="11" t="str">
        <f t="shared" si="2"/>
        <v/>
      </c>
    </row>
    <row r="59" spans="1:13" s="41" customFormat="1" ht="15">
      <c r="A59" s="40" t="s">
        <v>83</v>
      </c>
      <c r="B59" s="40"/>
      <c r="C59" s="40"/>
      <c r="D59" s="257" t="s">
        <v>84</v>
      </c>
      <c r="E59" s="258"/>
      <c r="F59" s="40">
        <v>49</v>
      </c>
      <c r="G59" s="197">
        <v>0</v>
      </c>
      <c r="H59" s="32">
        <v>0</v>
      </c>
      <c r="I59" s="42" t="str">
        <f t="shared" si="11"/>
        <v>0</v>
      </c>
      <c r="J59" s="32">
        <f>' Bis.1'!J54+[1]liv1!N54</f>
        <v>0</v>
      </c>
      <c r="K59" s="32">
        <f>' Bis.1'!K54+[1]liv1!O54</f>
        <v>0</v>
      </c>
      <c r="L59" s="32" t="str">
        <f t="shared" si="12"/>
        <v/>
      </c>
      <c r="M59" s="220" t="str">
        <f t="shared" si="2"/>
        <v/>
      </c>
    </row>
    <row r="60" spans="1:13" s="41" customFormat="1" ht="15">
      <c r="A60" s="40" t="s">
        <v>85</v>
      </c>
      <c r="B60" s="40"/>
      <c r="C60" s="40"/>
      <c r="D60" s="257" t="s">
        <v>86</v>
      </c>
      <c r="E60" s="258"/>
      <c r="F60" s="40"/>
      <c r="G60" s="197">
        <v>0</v>
      </c>
      <c r="H60" s="32">
        <v>0</v>
      </c>
      <c r="I60" s="42" t="str">
        <f t="shared" si="11"/>
        <v>0</v>
      </c>
      <c r="J60" s="32">
        <f>' Bis.1'!J55+[1]liv1!N55</f>
        <v>0</v>
      </c>
      <c r="K60" s="32">
        <f>' Bis.1'!K55+[1]liv1!O55</f>
        <v>0</v>
      </c>
      <c r="L60" s="32" t="str">
        <f t="shared" si="12"/>
        <v/>
      </c>
      <c r="M60" s="220" t="str">
        <f t="shared" si="2"/>
        <v/>
      </c>
    </row>
    <row r="61" spans="1:13" s="2" customFormat="1" ht="18.75" customHeight="1">
      <c r="A61" s="248"/>
      <c r="B61" s="12">
        <v>1</v>
      </c>
      <c r="C61" s="12"/>
      <c r="D61" s="243" t="s">
        <v>87</v>
      </c>
      <c r="E61" s="244"/>
      <c r="F61" s="12">
        <v>50</v>
      </c>
      <c r="G61" s="214">
        <v>21</v>
      </c>
      <c r="H61" s="198">
        <v>22</v>
      </c>
      <c r="I61" s="43">
        <f t="shared" si="11"/>
        <v>1.0476190476190477</v>
      </c>
      <c r="J61" s="37">
        <v>22</v>
      </c>
      <c r="K61" s="37">
        <v>24</v>
      </c>
      <c r="L61" s="15">
        <f t="shared" si="12"/>
        <v>1</v>
      </c>
      <c r="M61" s="11">
        <f t="shared" si="2"/>
        <v>1.0909090909090908</v>
      </c>
    </row>
    <row r="62" spans="1:13" s="2" customFormat="1" ht="16.5" customHeight="1">
      <c r="A62" s="248"/>
      <c r="B62" s="12">
        <v>2</v>
      </c>
      <c r="C62" s="12"/>
      <c r="D62" s="243" t="s">
        <v>88</v>
      </c>
      <c r="E62" s="244"/>
      <c r="F62" s="12">
        <v>51</v>
      </c>
      <c r="G62" s="214">
        <v>21</v>
      </c>
      <c r="H62" s="198">
        <v>22</v>
      </c>
      <c r="I62" s="43">
        <f t="shared" si="11"/>
        <v>1.0476190476190477</v>
      </c>
      <c r="J62" s="37">
        <v>22</v>
      </c>
      <c r="K62" s="37">
        <v>24</v>
      </c>
      <c r="L62" s="15">
        <f t="shared" si="12"/>
        <v>1</v>
      </c>
      <c r="M62" s="11">
        <f t="shared" si="2"/>
        <v>1.0909090909090908</v>
      </c>
    </row>
    <row r="63" spans="1:13" s="2" customFormat="1" ht="29.25" customHeight="1">
      <c r="A63" s="248"/>
      <c r="B63" s="12">
        <v>3</v>
      </c>
      <c r="C63" s="12"/>
      <c r="D63" s="243" t="s">
        <v>89</v>
      </c>
      <c r="E63" s="244"/>
      <c r="F63" s="12">
        <v>52</v>
      </c>
      <c r="G63" s="213">
        <f>(G21/G61)/12*1000</f>
        <v>10586.690476190479</v>
      </c>
      <c r="H63" s="196">
        <f>(H21/H61)/12*1000</f>
        <v>11580.912878787878</v>
      </c>
      <c r="I63" s="43">
        <f t="shared" si="11"/>
        <v>1.0939124842492949</v>
      </c>
      <c r="J63" s="37">
        <f>' Bis.1'!J58+[1]liv1!N58</f>
        <v>0</v>
      </c>
      <c r="K63" s="37">
        <f>' Bis.1'!K58+[1]liv1!O58</f>
        <v>0</v>
      </c>
      <c r="L63" s="15">
        <f t="shared" si="12"/>
        <v>0</v>
      </c>
      <c r="M63" s="11" t="str">
        <f t="shared" si="2"/>
        <v/>
      </c>
    </row>
    <row r="64" spans="1:13" s="2" customFormat="1" ht="35.25" customHeight="1">
      <c r="A64" s="248"/>
      <c r="B64" s="12">
        <v>4</v>
      </c>
      <c r="C64" s="12"/>
      <c r="D64" s="243" t="s">
        <v>90</v>
      </c>
      <c r="E64" s="244"/>
      <c r="F64" s="12">
        <v>53</v>
      </c>
      <c r="G64" s="213">
        <f>(G21/G62)/12*1000</f>
        <v>10586.690476190479</v>
      </c>
      <c r="H64" s="196">
        <f>(H21/H62)/12*1000</f>
        <v>11580.912878787878</v>
      </c>
      <c r="I64" s="43">
        <f t="shared" si="11"/>
        <v>1.0939124842492949</v>
      </c>
      <c r="J64" s="37">
        <f>' Bis.1'!J59+[1]liv1!N59</f>
        <v>0</v>
      </c>
      <c r="K64" s="45">
        <f>'[1]Buget centralizat 2'!L162</f>
        <v>0</v>
      </c>
      <c r="L64" s="15">
        <f t="shared" si="12"/>
        <v>0</v>
      </c>
      <c r="M64" s="11" t="str">
        <f t="shared" si="2"/>
        <v/>
      </c>
    </row>
    <row r="65" spans="1:13" s="2" customFormat="1" ht="31.5" customHeight="1">
      <c r="A65" s="248"/>
      <c r="B65" s="12">
        <v>5</v>
      </c>
      <c r="C65" s="12"/>
      <c r="D65" s="243" t="s">
        <v>91</v>
      </c>
      <c r="E65" s="244"/>
      <c r="F65" s="12">
        <v>54</v>
      </c>
      <c r="G65" s="213">
        <f t="shared" ref="G65:H65" si="13">G12/G62</f>
        <v>276.50495238095237</v>
      </c>
      <c r="H65" s="196">
        <f t="shared" si="13"/>
        <v>265.63000000000005</v>
      </c>
      <c r="I65" s="43">
        <f t="shared" si="11"/>
        <v>0.96066995441741876</v>
      </c>
      <c r="J65" s="45">
        <f>J12/J62</f>
        <v>265.25727272727272</v>
      </c>
      <c r="K65" s="45">
        <f>K12/K62</f>
        <v>245.83333333333334</v>
      </c>
      <c r="L65" s="15">
        <f t="shared" si="12"/>
        <v>0.99859681785669041</v>
      </c>
      <c r="M65" s="11">
        <f t="shared" si="2"/>
        <v>0.92677320702942489</v>
      </c>
    </row>
    <row r="66" spans="1:13" s="2" customFormat="1" ht="33" customHeight="1">
      <c r="A66" s="248"/>
      <c r="B66" s="12">
        <v>6</v>
      </c>
      <c r="C66" s="12"/>
      <c r="D66" s="261" t="s">
        <v>92</v>
      </c>
      <c r="E66" s="261"/>
      <c r="F66" s="12">
        <v>55</v>
      </c>
      <c r="G66" s="213">
        <v>0</v>
      </c>
      <c r="H66" s="193">
        <v>0</v>
      </c>
      <c r="I66" s="43" t="str">
        <f t="shared" si="11"/>
        <v>0</v>
      </c>
      <c r="J66" s="37"/>
      <c r="K66" s="37"/>
      <c r="L66" s="15" t="str">
        <f t="shared" si="12"/>
        <v/>
      </c>
      <c r="M66" s="11" t="str">
        <f t="shared" si="2"/>
        <v/>
      </c>
    </row>
    <row r="67" spans="1:13" s="2" customFormat="1" ht="30.75" customHeight="1">
      <c r="A67" s="248"/>
      <c r="B67" s="12">
        <v>7</v>
      </c>
      <c r="C67" s="12"/>
      <c r="D67" s="243" t="s">
        <v>93</v>
      </c>
      <c r="E67" s="244"/>
      <c r="F67" s="12">
        <v>56</v>
      </c>
      <c r="G67" s="213">
        <v>0</v>
      </c>
      <c r="H67" s="193">
        <v>0</v>
      </c>
      <c r="I67" s="43" t="str">
        <f t="shared" si="11"/>
        <v>0</v>
      </c>
      <c r="J67" s="37"/>
      <c r="K67" s="37"/>
      <c r="L67" s="15" t="str">
        <f t="shared" si="12"/>
        <v/>
      </c>
      <c r="M67" s="11" t="str">
        <f t="shared" si="2"/>
        <v/>
      </c>
    </row>
    <row r="68" spans="1:13" s="2" customFormat="1" ht="17.25" customHeight="1">
      <c r="A68" s="248"/>
      <c r="B68" s="12">
        <v>8</v>
      </c>
      <c r="C68" s="12"/>
      <c r="D68" s="243" t="s">
        <v>94</v>
      </c>
      <c r="E68" s="244"/>
      <c r="F68" s="12">
        <v>57</v>
      </c>
      <c r="G68" s="213">
        <f t="shared" ref="G68:H68" si="14">(G16/G11)*1000</f>
        <v>801.74686867813625</v>
      </c>
      <c r="H68" s="196">
        <f t="shared" si="14"/>
        <v>897.26846179645293</v>
      </c>
      <c r="I68" s="43">
        <f t="shared" si="11"/>
        <v>1.119141834973183</v>
      </c>
      <c r="J68" s="45">
        <f>(J16/J11)*1000</f>
        <v>898.52906905013231</v>
      </c>
      <c r="K68" s="45">
        <f>(K16/K11)*1000</f>
        <v>898.45934814664156</v>
      </c>
      <c r="L68" s="15">
        <f t="shared" si="12"/>
        <v>1.0014049387751303</v>
      </c>
      <c r="M68" s="11">
        <f t="shared" si="2"/>
        <v>0.99992240551152733</v>
      </c>
    </row>
    <row r="69" spans="1:13" s="2" customFormat="1" ht="15" customHeight="1">
      <c r="A69" s="248"/>
      <c r="B69" s="12">
        <v>9</v>
      </c>
      <c r="C69" s="12"/>
      <c r="D69" s="243" t="s">
        <v>95</v>
      </c>
      <c r="E69" s="244"/>
      <c r="F69" s="12">
        <v>58</v>
      </c>
      <c r="G69" s="213">
        <v>0</v>
      </c>
      <c r="H69" s="193">
        <v>0</v>
      </c>
      <c r="I69" s="43" t="str">
        <f t="shared" si="11"/>
        <v>0</v>
      </c>
      <c r="J69" s="37"/>
      <c r="K69" s="37"/>
      <c r="L69" s="15" t="str">
        <f t="shared" si="12"/>
        <v/>
      </c>
      <c r="M69" s="11" t="str">
        <f t="shared" si="2"/>
        <v/>
      </c>
    </row>
    <row r="70" spans="1:13" s="2" customFormat="1" ht="15.75">
      <c r="A70" s="248"/>
      <c r="B70" s="12">
        <v>10</v>
      </c>
      <c r="C70" s="12"/>
      <c r="D70" s="243" t="s">
        <v>96</v>
      </c>
      <c r="E70" s="244"/>
      <c r="F70" s="12">
        <v>59</v>
      </c>
      <c r="G70" s="213">
        <v>0</v>
      </c>
      <c r="H70" s="193">
        <v>0</v>
      </c>
      <c r="I70" s="43" t="str">
        <f t="shared" si="11"/>
        <v>0</v>
      </c>
      <c r="J70" s="37"/>
      <c r="K70" s="37"/>
      <c r="L70" s="15" t="str">
        <f t="shared" si="12"/>
        <v/>
      </c>
      <c r="M70" s="11" t="str">
        <f t="shared" si="2"/>
        <v/>
      </c>
    </row>
    <row r="71" spans="1:13" ht="20.100000000000001" customHeight="1">
      <c r="A71" s="262" t="s">
        <v>97</v>
      </c>
      <c r="B71" s="262"/>
      <c r="C71" s="262"/>
      <c r="D71" s="262"/>
      <c r="E71" s="262"/>
      <c r="F71" s="262" t="s">
        <v>98</v>
      </c>
      <c r="G71" s="262"/>
      <c r="H71" s="262"/>
      <c r="I71" s="262"/>
      <c r="J71" s="262"/>
      <c r="K71" s="262"/>
      <c r="L71" s="262"/>
      <c r="M71" s="262"/>
    </row>
    <row r="72" spans="1:13" ht="20.100000000000001" customHeight="1">
      <c r="A72" s="264" t="s">
        <v>436</v>
      </c>
      <c r="B72" s="264"/>
      <c r="C72" s="264"/>
      <c r="D72" s="264"/>
      <c r="E72" s="264"/>
      <c r="F72" s="262" t="s">
        <v>438</v>
      </c>
      <c r="G72" s="262"/>
      <c r="H72" s="262"/>
      <c r="I72" s="262"/>
      <c r="J72" s="262"/>
      <c r="K72" s="262"/>
      <c r="L72" s="262"/>
      <c r="M72" s="262"/>
    </row>
    <row r="73" spans="1:13" ht="20.100000000000001" customHeight="1">
      <c r="A73" s="262" t="s">
        <v>99</v>
      </c>
      <c r="B73" s="262" t="s">
        <v>100</v>
      </c>
      <c r="C73" s="262"/>
      <c r="D73" s="262"/>
      <c r="E73" s="262"/>
      <c r="F73" s="263" t="s">
        <v>101</v>
      </c>
      <c r="G73" s="263"/>
      <c r="H73" s="263"/>
      <c r="I73" s="263"/>
      <c r="J73" s="263"/>
      <c r="K73" s="263"/>
      <c r="L73" s="263"/>
      <c r="M73" s="263"/>
    </row>
    <row r="74" spans="1:13" ht="20.100000000000001" customHeight="1"/>
    <row r="75" spans="1:13" ht="24" customHeight="1"/>
    <row r="76" spans="1:13" ht="20.100000000000001" customHeight="1"/>
    <row r="77" spans="1:13" ht="20.100000000000001" customHeight="1"/>
    <row r="78" spans="1:13" ht="20.100000000000001" customHeight="1"/>
    <row r="79" spans="1:13" ht="33.75" customHeight="1"/>
    <row r="80" spans="1:13" ht="16.5" customHeight="1"/>
    <row r="81" spans="4:13" ht="16.5" customHeight="1"/>
    <row r="82" spans="4:13" ht="20.25" customHeight="1"/>
    <row r="83" spans="4:13" ht="20.25" customHeight="1"/>
    <row r="84" spans="4:13" s="50" customFormat="1" ht="20.100000000000001" customHeight="1">
      <c r="D84" s="48"/>
      <c r="E84" s="49"/>
      <c r="G84" s="144"/>
      <c r="H84" s="144"/>
      <c r="I84" s="47"/>
      <c r="J84" s="47"/>
      <c r="K84" s="47"/>
      <c r="L84" s="47"/>
      <c r="M84" s="47"/>
    </row>
    <row r="85" spans="4:13" s="50" customFormat="1" ht="20.100000000000001" customHeight="1">
      <c r="D85" s="48"/>
      <c r="E85" s="49"/>
      <c r="G85" s="144"/>
      <c r="H85" s="144"/>
      <c r="I85" s="47"/>
      <c r="J85" s="47"/>
      <c r="K85" s="47"/>
      <c r="L85" s="47"/>
      <c r="M85" s="47"/>
    </row>
    <row r="86" spans="4:13" ht="20.100000000000001" customHeight="1"/>
    <row r="87" spans="4:13" ht="20.100000000000001" customHeight="1"/>
    <row r="88" spans="4:13" ht="20.100000000000001" customHeight="1"/>
    <row r="89" spans="4:13" ht="20.100000000000001" customHeight="1"/>
    <row r="90" spans="4:13" s="50" customFormat="1" ht="20.100000000000001" customHeight="1">
      <c r="D90" s="48"/>
      <c r="E90" s="49"/>
      <c r="G90" s="144"/>
      <c r="H90" s="144"/>
      <c r="I90" s="47"/>
      <c r="J90" s="47"/>
      <c r="K90" s="47"/>
      <c r="L90" s="47"/>
      <c r="M90" s="47"/>
    </row>
    <row r="91" spans="4:13" ht="22.5" customHeight="1"/>
    <row r="97" ht="51.75" customHeight="1"/>
    <row r="98" ht="35.25" customHeight="1"/>
    <row r="118" spans="4:13" s="50" customFormat="1">
      <c r="D118" s="48"/>
      <c r="E118" s="49"/>
      <c r="G118" s="144"/>
      <c r="H118" s="144"/>
      <c r="I118" s="47"/>
      <c r="J118" s="47"/>
      <c r="K118" s="47"/>
      <c r="L118" s="47"/>
      <c r="M118" s="47"/>
    </row>
    <row r="121" spans="4:13" s="52" customFormat="1">
      <c r="D121" s="51"/>
      <c r="G121" s="145"/>
      <c r="H121" s="146"/>
      <c r="I121" s="47"/>
      <c r="J121" s="47"/>
      <c r="K121" s="47"/>
      <c r="L121" s="47"/>
      <c r="M121" s="53"/>
    </row>
    <row r="123" spans="4:13">
      <c r="I123" s="53"/>
      <c r="J123" s="53"/>
      <c r="K123" s="53"/>
      <c r="L123" s="53"/>
    </row>
  </sheetData>
  <mergeCells count="81">
    <mergeCell ref="A71:E71"/>
    <mergeCell ref="F71:M71"/>
    <mergeCell ref="A73:E73"/>
    <mergeCell ref="F72:M72"/>
    <mergeCell ref="F73:M73"/>
    <mergeCell ref="A72:E72"/>
    <mergeCell ref="D56:E56"/>
    <mergeCell ref="D57:E57"/>
    <mergeCell ref="D59:E59"/>
    <mergeCell ref="D60:E60"/>
    <mergeCell ref="D65:E65"/>
    <mergeCell ref="A61:A70"/>
    <mergeCell ref="D61:E61"/>
    <mergeCell ref="D62:E62"/>
    <mergeCell ref="D63:E63"/>
    <mergeCell ref="D64:E64"/>
    <mergeCell ref="D70:E70"/>
    <mergeCell ref="D66:E66"/>
    <mergeCell ref="D67:E67"/>
    <mergeCell ref="D68:E68"/>
    <mergeCell ref="D69:E69"/>
    <mergeCell ref="D47:E47"/>
    <mergeCell ref="D48:E48"/>
    <mergeCell ref="D49:E49"/>
    <mergeCell ref="D50:E50"/>
    <mergeCell ref="A51:A55"/>
    <mergeCell ref="B51:B55"/>
    <mergeCell ref="D51:E51"/>
    <mergeCell ref="D52:E52"/>
    <mergeCell ref="D53:E53"/>
    <mergeCell ref="D54:E54"/>
    <mergeCell ref="A37:A48"/>
    <mergeCell ref="D55:E55"/>
    <mergeCell ref="D46:E46"/>
    <mergeCell ref="D37:E37"/>
    <mergeCell ref="D38:E38"/>
    <mergeCell ref="D39:E39"/>
    <mergeCell ref="D32:E32"/>
    <mergeCell ref="D33:E33"/>
    <mergeCell ref="D34:E34"/>
    <mergeCell ref="D35:E35"/>
    <mergeCell ref="D36:E36"/>
    <mergeCell ref="D40:E40"/>
    <mergeCell ref="D41:E41"/>
    <mergeCell ref="D42:E42"/>
    <mergeCell ref="D43:E43"/>
    <mergeCell ref="D44:E44"/>
    <mergeCell ref="D45:E45"/>
    <mergeCell ref="D31:E31"/>
    <mergeCell ref="D11:E11"/>
    <mergeCell ref="A12:A15"/>
    <mergeCell ref="D12:E12"/>
    <mergeCell ref="D15:E15"/>
    <mergeCell ref="D16:E16"/>
    <mergeCell ref="A17:A29"/>
    <mergeCell ref="D17:E17"/>
    <mergeCell ref="B18:B28"/>
    <mergeCell ref="D18:E18"/>
    <mergeCell ref="D19:E19"/>
    <mergeCell ref="D20:E20"/>
    <mergeCell ref="C22:C27"/>
    <mergeCell ref="D28:E28"/>
    <mergeCell ref="D29:E29"/>
    <mergeCell ref="D30:E30"/>
    <mergeCell ref="I8:I9"/>
    <mergeCell ref="J8:J9"/>
    <mergeCell ref="K8:K9"/>
    <mergeCell ref="L8:M8"/>
    <mergeCell ref="G8:G9"/>
    <mergeCell ref="H8:H9"/>
    <mergeCell ref="B10:C10"/>
    <mergeCell ref="D10:E10"/>
    <mergeCell ref="A8:C9"/>
    <mergeCell ref="D8:E9"/>
    <mergeCell ref="F8:F9"/>
    <mergeCell ref="F3:M3"/>
    <mergeCell ref="A7:M7"/>
    <mergeCell ref="F2:M2"/>
    <mergeCell ref="F1:M1"/>
    <mergeCell ref="A5:M5"/>
    <mergeCell ref="A6:M6"/>
  </mergeCells>
  <printOptions horizontalCentered="1" verticalCentered="1"/>
  <pageMargins left="0" right="0" top="0" bottom="0" header="0" footer="0"/>
  <pageSetup paperSize="9" scale="75" orientation="landscape" r:id="rId1"/>
  <headerFooter alignWithMargins="0">
    <oddFooter>Pagina &amp;P</oddFooter>
  </headerFooter>
  <rowBreaks count="2" manualBreakCount="2">
    <brk id="29" min="3" max="16" man="1"/>
    <brk id="55" min="3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T191"/>
  <sheetViews>
    <sheetView view="pageBreakPreview" zoomScaleNormal="100" zoomScaleSheetLayoutView="100" workbookViewId="0">
      <selection activeCell="E203" sqref="E203"/>
    </sheetView>
  </sheetViews>
  <sheetFormatPr defaultRowHeight="18"/>
  <cols>
    <col min="1" max="1" width="5.28515625" style="2" customWidth="1"/>
    <col min="2" max="2" width="4.5703125" style="2" customWidth="1"/>
    <col min="3" max="3" width="4.7109375" style="2" customWidth="1"/>
    <col min="4" max="4" width="7.42578125" style="2" customWidth="1"/>
    <col min="5" max="5" width="75" style="2" customWidth="1"/>
    <col min="6" max="6" width="8" style="2" customWidth="1"/>
    <col min="7" max="7" width="12" style="75" customWidth="1"/>
    <col min="8" max="8" width="10.140625" style="2" customWidth="1"/>
    <col min="9" max="9" width="14.42578125" style="76" customWidth="1"/>
    <col min="10" max="10" width="12.140625" style="77" customWidth="1"/>
    <col min="11" max="11" width="12.42578125" style="2" customWidth="1"/>
    <col min="12" max="12" width="11.140625" style="2" customWidth="1"/>
    <col min="13" max="13" width="12.28515625" style="78" customWidth="1"/>
    <col min="14" max="14" width="14.28515625" style="142" customWidth="1"/>
    <col min="15" max="15" width="9.7109375" style="2" customWidth="1"/>
    <col min="16" max="16" width="10.28515625" style="79" customWidth="1"/>
    <col min="17" max="17" width="11.140625" style="2" customWidth="1"/>
    <col min="18" max="18" width="25.140625" style="2" customWidth="1"/>
    <col min="19" max="19" width="9.140625" style="2" customWidth="1"/>
    <col min="20" max="20" width="10.7109375" style="2" bestFit="1" customWidth="1"/>
    <col min="21" max="252" width="9.140625" style="2"/>
    <col min="253" max="253" width="5.28515625" style="2" customWidth="1"/>
    <col min="254" max="254" width="4.5703125" style="2" customWidth="1"/>
    <col min="255" max="255" width="4.7109375" style="2" customWidth="1"/>
    <col min="256" max="256" width="7.42578125" style="2" customWidth="1"/>
    <col min="257" max="257" width="92.28515625" style="2" customWidth="1"/>
    <col min="258" max="258" width="8" style="2" customWidth="1"/>
    <col min="259" max="259" width="12" style="2" customWidth="1"/>
    <col min="260" max="260" width="10.140625" style="2" customWidth="1"/>
    <col min="261" max="262" width="12.140625" style="2" customWidth="1"/>
    <col min="263" max="268" width="0" style="2" hidden="1" customWidth="1"/>
    <col min="269" max="269" width="13.28515625" style="2" customWidth="1"/>
    <col min="270" max="270" width="0" style="2" hidden="1" customWidth="1"/>
    <col min="271" max="271" width="10.5703125" style="2" customWidth="1"/>
    <col min="272" max="272" width="10.85546875" style="2" customWidth="1"/>
    <col min="273" max="273" width="11.140625" style="2" customWidth="1"/>
    <col min="274" max="274" width="25.140625" style="2" customWidth="1"/>
    <col min="275" max="275" width="9.140625" style="2"/>
    <col min="276" max="276" width="10.7109375" style="2" bestFit="1" customWidth="1"/>
    <col min="277" max="508" width="9.140625" style="2"/>
    <col min="509" max="509" width="5.28515625" style="2" customWidth="1"/>
    <col min="510" max="510" width="4.5703125" style="2" customWidth="1"/>
    <col min="511" max="511" width="4.7109375" style="2" customWidth="1"/>
    <col min="512" max="512" width="7.42578125" style="2" customWidth="1"/>
    <col min="513" max="513" width="92.28515625" style="2" customWidth="1"/>
    <col min="514" max="514" width="8" style="2" customWidth="1"/>
    <col min="515" max="515" width="12" style="2" customWidth="1"/>
    <col min="516" max="516" width="10.140625" style="2" customWidth="1"/>
    <col min="517" max="518" width="12.140625" style="2" customWidth="1"/>
    <col min="519" max="524" width="0" style="2" hidden="1" customWidth="1"/>
    <col min="525" max="525" width="13.28515625" style="2" customWidth="1"/>
    <col min="526" max="526" width="0" style="2" hidden="1" customWidth="1"/>
    <col min="527" max="527" width="10.5703125" style="2" customWidth="1"/>
    <col min="528" max="528" width="10.85546875" style="2" customWidth="1"/>
    <col min="529" max="529" width="11.140625" style="2" customWidth="1"/>
    <col min="530" max="530" width="25.140625" style="2" customWidth="1"/>
    <col min="531" max="531" width="9.140625" style="2"/>
    <col min="532" max="532" width="10.7109375" style="2" bestFit="1" customWidth="1"/>
    <col min="533" max="764" width="9.140625" style="2"/>
    <col min="765" max="765" width="5.28515625" style="2" customWidth="1"/>
    <col min="766" max="766" width="4.5703125" style="2" customWidth="1"/>
    <col min="767" max="767" width="4.7109375" style="2" customWidth="1"/>
    <col min="768" max="768" width="7.42578125" style="2" customWidth="1"/>
    <col min="769" max="769" width="92.28515625" style="2" customWidth="1"/>
    <col min="770" max="770" width="8" style="2" customWidth="1"/>
    <col min="771" max="771" width="12" style="2" customWidth="1"/>
    <col min="772" max="772" width="10.140625" style="2" customWidth="1"/>
    <col min="773" max="774" width="12.140625" style="2" customWidth="1"/>
    <col min="775" max="780" width="0" style="2" hidden="1" customWidth="1"/>
    <col min="781" max="781" width="13.28515625" style="2" customWidth="1"/>
    <col min="782" max="782" width="0" style="2" hidden="1" customWidth="1"/>
    <col min="783" max="783" width="10.5703125" style="2" customWidth="1"/>
    <col min="784" max="784" width="10.85546875" style="2" customWidth="1"/>
    <col min="785" max="785" width="11.140625" style="2" customWidth="1"/>
    <col min="786" max="786" width="25.140625" style="2" customWidth="1"/>
    <col min="787" max="787" width="9.140625" style="2"/>
    <col min="788" max="788" width="10.7109375" style="2" bestFit="1" customWidth="1"/>
    <col min="789" max="1020" width="9.140625" style="2"/>
    <col min="1021" max="1021" width="5.28515625" style="2" customWidth="1"/>
    <col min="1022" max="1022" width="4.5703125" style="2" customWidth="1"/>
    <col min="1023" max="1023" width="4.7109375" style="2" customWidth="1"/>
    <col min="1024" max="1024" width="7.42578125" style="2" customWidth="1"/>
    <col min="1025" max="1025" width="92.28515625" style="2" customWidth="1"/>
    <col min="1026" max="1026" width="8" style="2" customWidth="1"/>
    <col min="1027" max="1027" width="12" style="2" customWidth="1"/>
    <col min="1028" max="1028" width="10.140625" style="2" customWidth="1"/>
    <col min="1029" max="1030" width="12.140625" style="2" customWidth="1"/>
    <col min="1031" max="1036" width="0" style="2" hidden="1" customWidth="1"/>
    <col min="1037" max="1037" width="13.28515625" style="2" customWidth="1"/>
    <col min="1038" max="1038" width="0" style="2" hidden="1" customWidth="1"/>
    <col min="1039" max="1039" width="10.5703125" style="2" customWidth="1"/>
    <col min="1040" max="1040" width="10.85546875" style="2" customWidth="1"/>
    <col min="1041" max="1041" width="11.140625" style="2" customWidth="1"/>
    <col min="1042" max="1042" width="25.140625" style="2" customWidth="1"/>
    <col min="1043" max="1043" width="9.140625" style="2"/>
    <col min="1044" max="1044" width="10.7109375" style="2" bestFit="1" customWidth="1"/>
    <col min="1045" max="1276" width="9.140625" style="2"/>
    <col min="1277" max="1277" width="5.28515625" style="2" customWidth="1"/>
    <col min="1278" max="1278" width="4.5703125" style="2" customWidth="1"/>
    <col min="1279" max="1279" width="4.7109375" style="2" customWidth="1"/>
    <col min="1280" max="1280" width="7.42578125" style="2" customWidth="1"/>
    <col min="1281" max="1281" width="92.28515625" style="2" customWidth="1"/>
    <col min="1282" max="1282" width="8" style="2" customWidth="1"/>
    <col min="1283" max="1283" width="12" style="2" customWidth="1"/>
    <col min="1284" max="1284" width="10.140625" style="2" customWidth="1"/>
    <col min="1285" max="1286" width="12.140625" style="2" customWidth="1"/>
    <col min="1287" max="1292" width="0" style="2" hidden="1" customWidth="1"/>
    <col min="1293" max="1293" width="13.28515625" style="2" customWidth="1"/>
    <col min="1294" max="1294" width="0" style="2" hidden="1" customWidth="1"/>
    <col min="1295" max="1295" width="10.5703125" style="2" customWidth="1"/>
    <col min="1296" max="1296" width="10.85546875" style="2" customWidth="1"/>
    <col min="1297" max="1297" width="11.140625" style="2" customWidth="1"/>
    <col min="1298" max="1298" width="25.140625" style="2" customWidth="1"/>
    <col min="1299" max="1299" width="9.140625" style="2"/>
    <col min="1300" max="1300" width="10.7109375" style="2" bestFit="1" customWidth="1"/>
    <col min="1301" max="1532" width="9.140625" style="2"/>
    <col min="1533" max="1533" width="5.28515625" style="2" customWidth="1"/>
    <col min="1534" max="1534" width="4.5703125" style="2" customWidth="1"/>
    <col min="1535" max="1535" width="4.7109375" style="2" customWidth="1"/>
    <col min="1536" max="1536" width="7.42578125" style="2" customWidth="1"/>
    <col min="1537" max="1537" width="92.28515625" style="2" customWidth="1"/>
    <col min="1538" max="1538" width="8" style="2" customWidth="1"/>
    <col min="1539" max="1539" width="12" style="2" customWidth="1"/>
    <col min="1540" max="1540" width="10.140625" style="2" customWidth="1"/>
    <col min="1541" max="1542" width="12.140625" style="2" customWidth="1"/>
    <col min="1543" max="1548" width="0" style="2" hidden="1" customWidth="1"/>
    <col min="1549" max="1549" width="13.28515625" style="2" customWidth="1"/>
    <col min="1550" max="1550" width="0" style="2" hidden="1" customWidth="1"/>
    <col min="1551" max="1551" width="10.5703125" style="2" customWidth="1"/>
    <col min="1552" max="1552" width="10.85546875" style="2" customWidth="1"/>
    <col min="1553" max="1553" width="11.140625" style="2" customWidth="1"/>
    <col min="1554" max="1554" width="25.140625" style="2" customWidth="1"/>
    <col min="1555" max="1555" width="9.140625" style="2"/>
    <col min="1556" max="1556" width="10.7109375" style="2" bestFit="1" customWidth="1"/>
    <col min="1557" max="1788" width="9.140625" style="2"/>
    <col min="1789" max="1789" width="5.28515625" style="2" customWidth="1"/>
    <col min="1790" max="1790" width="4.5703125" style="2" customWidth="1"/>
    <col min="1791" max="1791" width="4.7109375" style="2" customWidth="1"/>
    <col min="1792" max="1792" width="7.42578125" style="2" customWidth="1"/>
    <col min="1793" max="1793" width="92.28515625" style="2" customWidth="1"/>
    <col min="1794" max="1794" width="8" style="2" customWidth="1"/>
    <col min="1795" max="1795" width="12" style="2" customWidth="1"/>
    <col min="1796" max="1796" width="10.140625" style="2" customWidth="1"/>
    <col min="1797" max="1798" width="12.140625" style="2" customWidth="1"/>
    <col min="1799" max="1804" width="0" style="2" hidden="1" customWidth="1"/>
    <col min="1805" max="1805" width="13.28515625" style="2" customWidth="1"/>
    <col min="1806" max="1806" width="0" style="2" hidden="1" customWidth="1"/>
    <col min="1807" max="1807" width="10.5703125" style="2" customWidth="1"/>
    <col min="1808" max="1808" width="10.85546875" style="2" customWidth="1"/>
    <col min="1809" max="1809" width="11.140625" style="2" customWidth="1"/>
    <col min="1810" max="1810" width="25.140625" style="2" customWidth="1"/>
    <col min="1811" max="1811" width="9.140625" style="2"/>
    <col min="1812" max="1812" width="10.7109375" style="2" bestFit="1" customWidth="1"/>
    <col min="1813" max="2044" width="9.140625" style="2"/>
    <col min="2045" max="2045" width="5.28515625" style="2" customWidth="1"/>
    <col min="2046" max="2046" width="4.5703125" style="2" customWidth="1"/>
    <col min="2047" max="2047" width="4.7109375" style="2" customWidth="1"/>
    <col min="2048" max="2048" width="7.42578125" style="2" customWidth="1"/>
    <col min="2049" max="2049" width="92.28515625" style="2" customWidth="1"/>
    <col min="2050" max="2050" width="8" style="2" customWidth="1"/>
    <col min="2051" max="2051" width="12" style="2" customWidth="1"/>
    <col min="2052" max="2052" width="10.140625" style="2" customWidth="1"/>
    <col min="2053" max="2054" width="12.140625" style="2" customWidth="1"/>
    <col min="2055" max="2060" width="0" style="2" hidden="1" customWidth="1"/>
    <col min="2061" max="2061" width="13.28515625" style="2" customWidth="1"/>
    <col min="2062" max="2062" width="0" style="2" hidden="1" customWidth="1"/>
    <col min="2063" max="2063" width="10.5703125" style="2" customWidth="1"/>
    <col min="2064" max="2064" width="10.85546875" style="2" customWidth="1"/>
    <col min="2065" max="2065" width="11.140625" style="2" customWidth="1"/>
    <col min="2066" max="2066" width="25.140625" style="2" customWidth="1"/>
    <col min="2067" max="2067" width="9.140625" style="2"/>
    <col min="2068" max="2068" width="10.7109375" style="2" bestFit="1" customWidth="1"/>
    <col min="2069" max="2300" width="9.140625" style="2"/>
    <col min="2301" max="2301" width="5.28515625" style="2" customWidth="1"/>
    <col min="2302" max="2302" width="4.5703125" style="2" customWidth="1"/>
    <col min="2303" max="2303" width="4.7109375" style="2" customWidth="1"/>
    <col min="2304" max="2304" width="7.42578125" style="2" customWidth="1"/>
    <col min="2305" max="2305" width="92.28515625" style="2" customWidth="1"/>
    <col min="2306" max="2306" width="8" style="2" customWidth="1"/>
    <col min="2307" max="2307" width="12" style="2" customWidth="1"/>
    <col min="2308" max="2308" width="10.140625" style="2" customWidth="1"/>
    <col min="2309" max="2310" width="12.140625" style="2" customWidth="1"/>
    <col min="2311" max="2316" width="0" style="2" hidden="1" customWidth="1"/>
    <col min="2317" max="2317" width="13.28515625" style="2" customWidth="1"/>
    <col min="2318" max="2318" width="0" style="2" hidden="1" customWidth="1"/>
    <col min="2319" max="2319" width="10.5703125" style="2" customWidth="1"/>
    <col min="2320" max="2320" width="10.85546875" style="2" customWidth="1"/>
    <col min="2321" max="2321" width="11.140625" style="2" customWidth="1"/>
    <col min="2322" max="2322" width="25.140625" style="2" customWidth="1"/>
    <col min="2323" max="2323" width="9.140625" style="2"/>
    <col min="2324" max="2324" width="10.7109375" style="2" bestFit="1" customWidth="1"/>
    <col min="2325" max="2556" width="9.140625" style="2"/>
    <col min="2557" max="2557" width="5.28515625" style="2" customWidth="1"/>
    <col min="2558" max="2558" width="4.5703125" style="2" customWidth="1"/>
    <col min="2559" max="2559" width="4.7109375" style="2" customWidth="1"/>
    <col min="2560" max="2560" width="7.42578125" style="2" customWidth="1"/>
    <col min="2561" max="2561" width="92.28515625" style="2" customWidth="1"/>
    <col min="2562" max="2562" width="8" style="2" customWidth="1"/>
    <col min="2563" max="2563" width="12" style="2" customWidth="1"/>
    <col min="2564" max="2564" width="10.140625" style="2" customWidth="1"/>
    <col min="2565" max="2566" width="12.140625" style="2" customWidth="1"/>
    <col min="2567" max="2572" width="0" style="2" hidden="1" customWidth="1"/>
    <col min="2573" max="2573" width="13.28515625" style="2" customWidth="1"/>
    <col min="2574" max="2574" width="0" style="2" hidden="1" customWidth="1"/>
    <col min="2575" max="2575" width="10.5703125" style="2" customWidth="1"/>
    <col min="2576" max="2576" width="10.85546875" style="2" customWidth="1"/>
    <col min="2577" max="2577" width="11.140625" style="2" customWidth="1"/>
    <col min="2578" max="2578" width="25.140625" style="2" customWidth="1"/>
    <col min="2579" max="2579" width="9.140625" style="2"/>
    <col min="2580" max="2580" width="10.7109375" style="2" bestFit="1" customWidth="1"/>
    <col min="2581" max="2812" width="9.140625" style="2"/>
    <col min="2813" max="2813" width="5.28515625" style="2" customWidth="1"/>
    <col min="2814" max="2814" width="4.5703125" style="2" customWidth="1"/>
    <col min="2815" max="2815" width="4.7109375" style="2" customWidth="1"/>
    <col min="2816" max="2816" width="7.42578125" style="2" customWidth="1"/>
    <col min="2817" max="2817" width="92.28515625" style="2" customWidth="1"/>
    <col min="2818" max="2818" width="8" style="2" customWidth="1"/>
    <col min="2819" max="2819" width="12" style="2" customWidth="1"/>
    <col min="2820" max="2820" width="10.140625" style="2" customWidth="1"/>
    <col min="2821" max="2822" width="12.140625" style="2" customWidth="1"/>
    <col min="2823" max="2828" width="0" style="2" hidden="1" customWidth="1"/>
    <col min="2829" max="2829" width="13.28515625" style="2" customWidth="1"/>
    <col min="2830" max="2830" width="0" style="2" hidden="1" customWidth="1"/>
    <col min="2831" max="2831" width="10.5703125" style="2" customWidth="1"/>
    <col min="2832" max="2832" width="10.85546875" style="2" customWidth="1"/>
    <col min="2833" max="2833" width="11.140625" style="2" customWidth="1"/>
    <col min="2834" max="2834" width="25.140625" style="2" customWidth="1"/>
    <col min="2835" max="2835" width="9.140625" style="2"/>
    <col min="2836" max="2836" width="10.7109375" style="2" bestFit="1" customWidth="1"/>
    <col min="2837" max="3068" width="9.140625" style="2"/>
    <col min="3069" max="3069" width="5.28515625" style="2" customWidth="1"/>
    <col min="3070" max="3070" width="4.5703125" style="2" customWidth="1"/>
    <col min="3071" max="3071" width="4.7109375" style="2" customWidth="1"/>
    <col min="3072" max="3072" width="7.42578125" style="2" customWidth="1"/>
    <col min="3073" max="3073" width="92.28515625" style="2" customWidth="1"/>
    <col min="3074" max="3074" width="8" style="2" customWidth="1"/>
    <col min="3075" max="3075" width="12" style="2" customWidth="1"/>
    <col min="3076" max="3076" width="10.140625" style="2" customWidth="1"/>
    <col min="3077" max="3078" width="12.140625" style="2" customWidth="1"/>
    <col min="3079" max="3084" width="0" style="2" hidden="1" customWidth="1"/>
    <col min="3085" max="3085" width="13.28515625" style="2" customWidth="1"/>
    <col min="3086" max="3086" width="0" style="2" hidden="1" customWidth="1"/>
    <col min="3087" max="3087" width="10.5703125" style="2" customWidth="1"/>
    <col min="3088" max="3088" width="10.85546875" style="2" customWidth="1"/>
    <col min="3089" max="3089" width="11.140625" style="2" customWidth="1"/>
    <col min="3090" max="3090" width="25.140625" style="2" customWidth="1"/>
    <col min="3091" max="3091" width="9.140625" style="2"/>
    <col min="3092" max="3092" width="10.7109375" style="2" bestFit="1" customWidth="1"/>
    <col min="3093" max="3324" width="9.140625" style="2"/>
    <col min="3325" max="3325" width="5.28515625" style="2" customWidth="1"/>
    <col min="3326" max="3326" width="4.5703125" style="2" customWidth="1"/>
    <col min="3327" max="3327" width="4.7109375" style="2" customWidth="1"/>
    <col min="3328" max="3328" width="7.42578125" style="2" customWidth="1"/>
    <col min="3329" max="3329" width="92.28515625" style="2" customWidth="1"/>
    <col min="3330" max="3330" width="8" style="2" customWidth="1"/>
    <col min="3331" max="3331" width="12" style="2" customWidth="1"/>
    <col min="3332" max="3332" width="10.140625" style="2" customWidth="1"/>
    <col min="3333" max="3334" width="12.140625" style="2" customWidth="1"/>
    <col min="3335" max="3340" width="0" style="2" hidden="1" customWidth="1"/>
    <col min="3341" max="3341" width="13.28515625" style="2" customWidth="1"/>
    <col min="3342" max="3342" width="0" style="2" hidden="1" customWidth="1"/>
    <col min="3343" max="3343" width="10.5703125" style="2" customWidth="1"/>
    <col min="3344" max="3344" width="10.85546875" style="2" customWidth="1"/>
    <col min="3345" max="3345" width="11.140625" style="2" customWidth="1"/>
    <col min="3346" max="3346" width="25.140625" style="2" customWidth="1"/>
    <col min="3347" max="3347" width="9.140625" style="2"/>
    <col min="3348" max="3348" width="10.7109375" style="2" bestFit="1" customWidth="1"/>
    <col min="3349" max="3580" width="9.140625" style="2"/>
    <col min="3581" max="3581" width="5.28515625" style="2" customWidth="1"/>
    <col min="3582" max="3582" width="4.5703125" style="2" customWidth="1"/>
    <col min="3583" max="3583" width="4.7109375" style="2" customWidth="1"/>
    <col min="3584" max="3584" width="7.42578125" style="2" customWidth="1"/>
    <col min="3585" max="3585" width="92.28515625" style="2" customWidth="1"/>
    <col min="3586" max="3586" width="8" style="2" customWidth="1"/>
    <col min="3587" max="3587" width="12" style="2" customWidth="1"/>
    <col min="3588" max="3588" width="10.140625" style="2" customWidth="1"/>
    <col min="3589" max="3590" width="12.140625" style="2" customWidth="1"/>
    <col min="3591" max="3596" width="0" style="2" hidden="1" customWidth="1"/>
    <col min="3597" max="3597" width="13.28515625" style="2" customWidth="1"/>
    <col min="3598" max="3598" width="0" style="2" hidden="1" customWidth="1"/>
    <col min="3599" max="3599" width="10.5703125" style="2" customWidth="1"/>
    <col min="3600" max="3600" width="10.85546875" style="2" customWidth="1"/>
    <col min="3601" max="3601" width="11.140625" style="2" customWidth="1"/>
    <col min="3602" max="3602" width="25.140625" style="2" customWidth="1"/>
    <col min="3603" max="3603" width="9.140625" style="2"/>
    <col min="3604" max="3604" width="10.7109375" style="2" bestFit="1" customWidth="1"/>
    <col min="3605" max="3836" width="9.140625" style="2"/>
    <col min="3837" max="3837" width="5.28515625" style="2" customWidth="1"/>
    <col min="3838" max="3838" width="4.5703125" style="2" customWidth="1"/>
    <col min="3839" max="3839" width="4.7109375" style="2" customWidth="1"/>
    <col min="3840" max="3840" width="7.42578125" style="2" customWidth="1"/>
    <col min="3841" max="3841" width="92.28515625" style="2" customWidth="1"/>
    <col min="3842" max="3842" width="8" style="2" customWidth="1"/>
    <col min="3843" max="3843" width="12" style="2" customWidth="1"/>
    <col min="3844" max="3844" width="10.140625" style="2" customWidth="1"/>
    <col min="3845" max="3846" width="12.140625" style="2" customWidth="1"/>
    <col min="3847" max="3852" width="0" style="2" hidden="1" customWidth="1"/>
    <col min="3853" max="3853" width="13.28515625" style="2" customWidth="1"/>
    <col min="3854" max="3854" width="0" style="2" hidden="1" customWidth="1"/>
    <col min="3855" max="3855" width="10.5703125" style="2" customWidth="1"/>
    <col min="3856" max="3856" width="10.85546875" style="2" customWidth="1"/>
    <col min="3857" max="3857" width="11.140625" style="2" customWidth="1"/>
    <col min="3858" max="3858" width="25.140625" style="2" customWidth="1"/>
    <col min="3859" max="3859" width="9.140625" style="2"/>
    <col min="3860" max="3860" width="10.7109375" style="2" bestFit="1" customWidth="1"/>
    <col min="3861" max="4092" width="9.140625" style="2"/>
    <col min="4093" max="4093" width="5.28515625" style="2" customWidth="1"/>
    <col min="4094" max="4094" width="4.5703125" style="2" customWidth="1"/>
    <col min="4095" max="4095" width="4.7109375" style="2" customWidth="1"/>
    <col min="4096" max="4096" width="7.42578125" style="2" customWidth="1"/>
    <col min="4097" max="4097" width="92.28515625" style="2" customWidth="1"/>
    <col min="4098" max="4098" width="8" style="2" customWidth="1"/>
    <col min="4099" max="4099" width="12" style="2" customWidth="1"/>
    <col min="4100" max="4100" width="10.140625" style="2" customWidth="1"/>
    <col min="4101" max="4102" width="12.140625" style="2" customWidth="1"/>
    <col min="4103" max="4108" width="0" style="2" hidden="1" customWidth="1"/>
    <col min="4109" max="4109" width="13.28515625" style="2" customWidth="1"/>
    <col min="4110" max="4110" width="0" style="2" hidden="1" customWidth="1"/>
    <col min="4111" max="4111" width="10.5703125" style="2" customWidth="1"/>
    <col min="4112" max="4112" width="10.85546875" style="2" customWidth="1"/>
    <col min="4113" max="4113" width="11.140625" style="2" customWidth="1"/>
    <col min="4114" max="4114" width="25.140625" style="2" customWidth="1"/>
    <col min="4115" max="4115" width="9.140625" style="2"/>
    <col min="4116" max="4116" width="10.7109375" style="2" bestFit="1" customWidth="1"/>
    <col min="4117" max="4348" width="9.140625" style="2"/>
    <col min="4349" max="4349" width="5.28515625" style="2" customWidth="1"/>
    <col min="4350" max="4350" width="4.5703125" style="2" customWidth="1"/>
    <col min="4351" max="4351" width="4.7109375" style="2" customWidth="1"/>
    <col min="4352" max="4352" width="7.42578125" style="2" customWidth="1"/>
    <col min="4353" max="4353" width="92.28515625" style="2" customWidth="1"/>
    <col min="4354" max="4354" width="8" style="2" customWidth="1"/>
    <col min="4355" max="4355" width="12" style="2" customWidth="1"/>
    <col min="4356" max="4356" width="10.140625" style="2" customWidth="1"/>
    <col min="4357" max="4358" width="12.140625" style="2" customWidth="1"/>
    <col min="4359" max="4364" width="0" style="2" hidden="1" customWidth="1"/>
    <col min="4365" max="4365" width="13.28515625" style="2" customWidth="1"/>
    <col min="4366" max="4366" width="0" style="2" hidden="1" customWidth="1"/>
    <col min="4367" max="4367" width="10.5703125" style="2" customWidth="1"/>
    <col min="4368" max="4368" width="10.85546875" style="2" customWidth="1"/>
    <col min="4369" max="4369" width="11.140625" style="2" customWidth="1"/>
    <col min="4370" max="4370" width="25.140625" style="2" customWidth="1"/>
    <col min="4371" max="4371" width="9.140625" style="2"/>
    <col min="4372" max="4372" width="10.7109375" style="2" bestFit="1" customWidth="1"/>
    <col min="4373" max="4604" width="9.140625" style="2"/>
    <col min="4605" max="4605" width="5.28515625" style="2" customWidth="1"/>
    <col min="4606" max="4606" width="4.5703125" style="2" customWidth="1"/>
    <col min="4607" max="4607" width="4.7109375" style="2" customWidth="1"/>
    <col min="4608" max="4608" width="7.42578125" style="2" customWidth="1"/>
    <col min="4609" max="4609" width="92.28515625" style="2" customWidth="1"/>
    <col min="4610" max="4610" width="8" style="2" customWidth="1"/>
    <col min="4611" max="4611" width="12" style="2" customWidth="1"/>
    <col min="4612" max="4612" width="10.140625" style="2" customWidth="1"/>
    <col min="4613" max="4614" width="12.140625" style="2" customWidth="1"/>
    <col min="4615" max="4620" width="0" style="2" hidden="1" customWidth="1"/>
    <col min="4621" max="4621" width="13.28515625" style="2" customWidth="1"/>
    <col min="4622" max="4622" width="0" style="2" hidden="1" customWidth="1"/>
    <col min="4623" max="4623" width="10.5703125" style="2" customWidth="1"/>
    <col min="4624" max="4624" width="10.85546875" style="2" customWidth="1"/>
    <col min="4625" max="4625" width="11.140625" style="2" customWidth="1"/>
    <col min="4626" max="4626" width="25.140625" style="2" customWidth="1"/>
    <col min="4627" max="4627" width="9.140625" style="2"/>
    <col min="4628" max="4628" width="10.7109375" style="2" bestFit="1" customWidth="1"/>
    <col min="4629" max="4860" width="9.140625" style="2"/>
    <col min="4861" max="4861" width="5.28515625" style="2" customWidth="1"/>
    <col min="4862" max="4862" width="4.5703125" style="2" customWidth="1"/>
    <col min="4863" max="4863" width="4.7109375" style="2" customWidth="1"/>
    <col min="4864" max="4864" width="7.42578125" style="2" customWidth="1"/>
    <col min="4865" max="4865" width="92.28515625" style="2" customWidth="1"/>
    <col min="4866" max="4866" width="8" style="2" customWidth="1"/>
    <col min="4867" max="4867" width="12" style="2" customWidth="1"/>
    <col min="4868" max="4868" width="10.140625" style="2" customWidth="1"/>
    <col min="4869" max="4870" width="12.140625" style="2" customWidth="1"/>
    <col min="4871" max="4876" width="0" style="2" hidden="1" customWidth="1"/>
    <col min="4877" max="4877" width="13.28515625" style="2" customWidth="1"/>
    <col min="4878" max="4878" width="0" style="2" hidden="1" customWidth="1"/>
    <col min="4879" max="4879" width="10.5703125" style="2" customWidth="1"/>
    <col min="4880" max="4880" width="10.85546875" style="2" customWidth="1"/>
    <col min="4881" max="4881" width="11.140625" style="2" customWidth="1"/>
    <col min="4882" max="4882" width="25.140625" style="2" customWidth="1"/>
    <col min="4883" max="4883" width="9.140625" style="2"/>
    <col min="4884" max="4884" width="10.7109375" style="2" bestFit="1" customWidth="1"/>
    <col min="4885" max="5116" width="9.140625" style="2"/>
    <col min="5117" max="5117" width="5.28515625" style="2" customWidth="1"/>
    <col min="5118" max="5118" width="4.5703125" style="2" customWidth="1"/>
    <col min="5119" max="5119" width="4.7109375" style="2" customWidth="1"/>
    <col min="5120" max="5120" width="7.42578125" style="2" customWidth="1"/>
    <col min="5121" max="5121" width="92.28515625" style="2" customWidth="1"/>
    <col min="5122" max="5122" width="8" style="2" customWidth="1"/>
    <col min="5123" max="5123" width="12" style="2" customWidth="1"/>
    <col min="5124" max="5124" width="10.140625" style="2" customWidth="1"/>
    <col min="5125" max="5126" width="12.140625" style="2" customWidth="1"/>
    <col min="5127" max="5132" width="0" style="2" hidden="1" customWidth="1"/>
    <col min="5133" max="5133" width="13.28515625" style="2" customWidth="1"/>
    <col min="5134" max="5134" width="0" style="2" hidden="1" customWidth="1"/>
    <col min="5135" max="5135" width="10.5703125" style="2" customWidth="1"/>
    <col min="5136" max="5136" width="10.85546875" style="2" customWidth="1"/>
    <col min="5137" max="5137" width="11.140625" style="2" customWidth="1"/>
    <col min="5138" max="5138" width="25.140625" style="2" customWidth="1"/>
    <col min="5139" max="5139" width="9.140625" style="2"/>
    <col min="5140" max="5140" width="10.7109375" style="2" bestFit="1" customWidth="1"/>
    <col min="5141" max="5372" width="9.140625" style="2"/>
    <col min="5373" max="5373" width="5.28515625" style="2" customWidth="1"/>
    <col min="5374" max="5374" width="4.5703125" style="2" customWidth="1"/>
    <col min="5375" max="5375" width="4.7109375" style="2" customWidth="1"/>
    <col min="5376" max="5376" width="7.42578125" style="2" customWidth="1"/>
    <col min="5377" max="5377" width="92.28515625" style="2" customWidth="1"/>
    <col min="5378" max="5378" width="8" style="2" customWidth="1"/>
    <col min="5379" max="5379" width="12" style="2" customWidth="1"/>
    <col min="5380" max="5380" width="10.140625" style="2" customWidth="1"/>
    <col min="5381" max="5382" width="12.140625" style="2" customWidth="1"/>
    <col min="5383" max="5388" width="0" style="2" hidden="1" customWidth="1"/>
    <col min="5389" max="5389" width="13.28515625" style="2" customWidth="1"/>
    <col min="5390" max="5390" width="0" style="2" hidden="1" customWidth="1"/>
    <col min="5391" max="5391" width="10.5703125" style="2" customWidth="1"/>
    <col min="5392" max="5392" width="10.85546875" style="2" customWidth="1"/>
    <col min="5393" max="5393" width="11.140625" style="2" customWidth="1"/>
    <col min="5394" max="5394" width="25.140625" style="2" customWidth="1"/>
    <col min="5395" max="5395" width="9.140625" style="2"/>
    <col min="5396" max="5396" width="10.7109375" style="2" bestFit="1" customWidth="1"/>
    <col min="5397" max="5628" width="9.140625" style="2"/>
    <col min="5629" max="5629" width="5.28515625" style="2" customWidth="1"/>
    <col min="5630" max="5630" width="4.5703125" style="2" customWidth="1"/>
    <col min="5631" max="5631" width="4.7109375" style="2" customWidth="1"/>
    <col min="5632" max="5632" width="7.42578125" style="2" customWidth="1"/>
    <col min="5633" max="5633" width="92.28515625" style="2" customWidth="1"/>
    <col min="5634" max="5634" width="8" style="2" customWidth="1"/>
    <col min="5635" max="5635" width="12" style="2" customWidth="1"/>
    <col min="5636" max="5636" width="10.140625" style="2" customWidth="1"/>
    <col min="5637" max="5638" width="12.140625" style="2" customWidth="1"/>
    <col min="5639" max="5644" width="0" style="2" hidden="1" customWidth="1"/>
    <col min="5645" max="5645" width="13.28515625" style="2" customWidth="1"/>
    <col min="5646" max="5646" width="0" style="2" hidden="1" customWidth="1"/>
    <col min="5647" max="5647" width="10.5703125" style="2" customWidth="1"/>
    <col min="5648" max="5648" width="10.85546875" style="2" customWidth="1"/>
    <col min="5649" max="5649" width="11.140625" style="2" customWidth="1"/>
    <col min="5650" max="5650" width="25.140625" style="2" customWidth="1"/>
    <col min="5651" max="5651" width="9.140625" style="2"/>
    <col min="5652" max="5652" width="10.7109375" style="2" bestFit="1" customWidth="1"/>
    <col min="5653" max="5884" width="9.140625" style="2"/>
    <col min="5885" max="5885" width="5.28515625" style="2" customWidth="1"/>
    <col min="5886" max="5886" width="4.5703125" style="2" customWidth="1"/>
    <col min="5887" max="5887" width="4.7109375" style="2" customWidth="1"/>
    <col min="5888" max="5888" width="7.42578125" style="2" customWidth="1"/>
    <col min="5889" max="5889" width="92.28515625" style="2" customWidth="1"/>
    <col min="5890" max="5890" width="8" style="2" customWidth="1"/>
    <col min="5891" max="5891" width="12" style="2" customWidth="1"/>
    <col min="5892" max="5892" width="10.140625" style="2" customWidth="1"/>
    <col min="5893" max="5894" width="12.140625" style="2" customWidth="1"/>
    <col min="5895" max="5900" width="0" style="2" hidden="1" customWidth="1"/>
    <col min="5901" max="5901" width="13.28515625" style="2" customWidth="1"/>
    <col min="5902" max="5902" width="0" style="2" hidden="1" customWidth="1"/>
    <col min="5903" max="5903" width="10.5703125" style="2" customWidth="1"/>
    <col min="5904" max="5904" width="10.85546875" style="2" customWidth="1"/>
    <col min="5905" max="5905" width="11.140625" style="2" customWidth="1"/>
    <col min="5906" max="5906" width="25.140625" style="2" customWidth="1"/>
    <col min="5907" max="5907" width="9.140625" style="2"/>
    <col min="5908" max="5908" width="10.7109375" style="2" bestFit="1" customWidth="1"/>
    <col min="5909" max="6140" width="9.140625" style="2"/>
    <col min="6141" max="6141" width="5.28515625" style="2" customWidth="1"/>
    <col min="6142" max="6142" width="4.5703125" style="2" customWidth="1"/>
    <col min="6143" max="6143" width="4.7109375" style="2" customWidth="1"/>
    <col min="6144" max="6144" width="7.42578125" style="2" customWidth="1"/>
    <col min="6145" max="6145" width="92.28515625" style="2" customWidth="1"/>
    <col min="6146" max="6146" width="8" style="2" customWidth="1"/>
    <col min="6147" max="6147" width="12" style="2" customWidth="1"/>
    <col min="6148" max="6148" width="10.140625" style="2" customWidth="1"/>
    <col min="6149" max="6150" width="12.140625" style="2" customWidth="1"/>
    <col min="6151" max="6156" width="0" style="2" hidden="1" customWidth="1"/>
    <col min="6157" max="6157" width="13.28515625" style="2" customWidth="1"/>
    <col min="6158" max="6158" width="0" style="2" hidden="1" customWidth="1"/>
    <col min="6159" max="6159" width="10.5703125" style="2" customWidth="1"/>
    <col min="6160" max="6160" width="10.85546875" style="2" customWidth="1"/>
    <col min="6161" max="6161" width="11.140625" style="2" customWidth="1"/>
    <col min="6162" max="6162" width="25.140625" style="2" customWidth="1"/>
    <col min="6163" max="6163" width="9.140625" style="2"/>
    <col min="6164" max="6164" width="10.7109375" style="2" bestFit="1" customWidth="1"/>
    <col min="6165" max="6396" width="9.140625" style="2"/>
    <col min="6397" max="6397" width="5.28515625" style="2" customWidth="1"/>
    <col min="6398" max="6398" width="4.5703125" style="2" customWidth="1"/>
    <col min="6399" max="6399" width="4.7109375" style="2" customWidth="1"/>
    <col min="6400" max="6400" width="7.42578125" style="2" customWidth="1"/>
    <col min="6401" max="6401" width="92.28515625" style="2" customWidth="1"/>
    <col min="6402" max="6402" width="8" style="2" customWidth="1"/>
    <col min="6403" max="6403" width="12" style="2" customWidth="1"/>
    <col min="6404" max="6404" width="10.140625" style="2" customWidth="1"/>
    <col min="6405" max="6406" width="12.140625" style="2" customWidth="1"/>
    <col min="6407" max="6412" width="0" style="2" hidden="1" customWidth="1"/>
    <col min="6413" max="6413" width="13.28515625" style="2" customWidth="1"/>
    <col min="6414" max="6414" width="0" style="2" hidden="1" customWidth="1"/>
    <col min="6415" max="6415" width="10.5703125" style="2" customWidth="1"/>
    <col min="6416" max="6416" width="10.85546875" style="2" customWidth="1"/>
    <col min="6417" max="6417" width="11.140625" style="2" customWidth="1"/>
    <col min="6418" max="6418" width="25.140625" style="2" customWidth="1"/>
    <col min="6419" max="6419" width="9.140625" style="2"/>
    <col min="6420" max="6420" width="10.7109375" style="2" bestFit="1" customWidth="1"/>
    <col min="6421" max="6652" width="9.140625" style="2"/>
    <col min="6653" max="6653" width="5.28515625" style="2" customWidth="1"/>
    <col min="6654" max="6654" width="4.5703125" style="2" customWidth="1"/>
    <col min="6655" max="6655" width="4.7109375" style="2" customWidth="1"/>
    <col min="6656" max="6656" width="7.42578125" style="2" customWidth="1"/>
    <col min="6657" max="6657" width="92.28515625" style="2" customWidth="1"/>
    <col min="6658" max="6658" width="8" style="2" customWidth="1"/>
    <col min="6659" max="6659" width="12" style="2" customWidth="1"/>
    <col min="6660" max="6660" width="10.140625" style="2" customWidth="1"/>
    <col min="6661" max="6662" width="12.140625" style="2" customWidth="1"/>
    <col min="6663" max="6668" width="0" style="2" hidden="1" customWidth="1"/>
    <col min="6669" max="6669" width="13.28515625" style="2" customWidth="1"/>
    <col min="6670" max="6670" width="0" style="2" hidden="1" customWidth="1"/>
    <col min="6671" max="6671" width="10.5703125" style="2" customWidth="1"/>
    <col min="6672" max="6672" width="10.85546875" style="2" customWidth="1"/>
    <col min="6673" max="6673" width="11.140625" style="2" customWidth="1"/>
    <col min="6674" max="6674" width="25.140625" style="2" customWidth="1"/>
    <col min="6675" max="6675" width="9.140625" style="2"/>
    <col min="6676" max="6676" width="10.7109375" style="2" bestFit="1" customWidth="1"/>
    <col min="6677" max="6908" width="9.140625" style="2"/>
    <col min="6909" max="6909" width="5.28515625" style="2" customWidth="1"/>
    <col min="6910" max="6910" width="4.5703125" style="2" customWidth="1"/>
    <col min="6911" max="6911" width="4.7109375" style="2" customWidth="1"/>
    <col min="6912" max="6912" width="7.42578125" style="2" customWidth="1"/>
    <col min="6913" max="6913" width="92.28515625" style="2" customWidth="1"/>
    <col min="6914" max="6914" width="8" style="2" customWidth="1"/>
    <col min="6915" max="6915" width="12" style="2" customWidth="1"/>
    <col min="6916" max="6916" width="10.140625" style="2" customWidth="1"/>
    <col min="6917" max="6918" width="12.140625" style="2" customWidth="1"/>
    <col min="6919" max="6924" width="0" style="2" hidden="1" customWidth="1"/>
    <col min="6925" max="6925" width="13.28515625" style="2" customWidth="1"/>
    <col min="6926" max="6926" width="0" style="2" hidden="1" customWidth="1"/>
    <col min="6927" max="6927" width="10.5703125" style="2" customWidth="1"/>
    <col min="6928" max="6928" width="10.85546875" style="2" customWidth="1"/>
    <col min="6929" max="6929" width="11.140625" style="2" customWidth="1"/>
    <col min="6930" max="6930" width="25.140625" style="2" customWidth="1"/>
    <col min="6931" max="6931" width="9.140625" style="2"/>
    <col min="6932" max="6932" width="10.7109375" style="2" bestFit="1" customWidth="1"/>
    <col min="6933" max="7164" width="9.140625" style="2"/>
    <col min="7165" max="7165" width="5.28515625" style="2" customWidth="1"/>
    <col min="7166" max="7166" width="4.5703125" style="2" customWidth="1"/>
    <col min="7167" max="7167" width="4.7109375" style="2" customWidth="1"/>
    <col min="7168" max="7168" width="7.42578125" style="2" customWidth="1"/>
    <col min="7169" max="7169" width="92.28515625" style="2" customWidth="1"/>
    <col min="7170" max="7170" width="8" style="2" customWidth="1"/>
    <col min="7171" max="7171" width="12" style="2" customWidth="1"/>
    <col min="7172" max="7172" width="10.140625" style="2" customWidth="1"/>
    <col min="7173" max="7174" width="12.140625" style="2" customWidth="1"/>
    <col min="7175" max="7180" width="0" style="2" hidden="1" customWidth="1"/>
    <col min="7181" max="7181" width="13.28515625" style="2" customWidth="1"/>
    <col min="7182" max="7182" width="0" style="2" hidden="1" customWidth="1"/>
    <col min="7183" max="7183" width="10.5703125" style="2" customWidth="1"/>
    <col min="7184" max="7184" width="10.85546875" style="2" customWidth="1"/>
    <col min="7185" max="7185" width="11.140625" style="2" customWidth="1"/>
    <col min="7186" max="7186" width="25.140625" style="2" customWidth="1"/>
    <col min="7187" max="7187" width="9.140625" style="2"/>
    <col min="7188" max="7188" width="10.7109375" style="2" bestFit="1" customWidth="1"/>
    <col min="7189" max="7420" width="9.140625" style="2"/>
    <col min="7421" max="7421" width="5.28515625" style="2" customWidth="1"/>
    <col min="7422" max="7422" width="4.5703125" style="2" customWidth="1"/>
    <col min="7423" max="7423" width="4.7109375" style="2" customWidth="1"/>
    <col min="7424" max="7424" width="7.42578125" style="2" customWidth="1"/>
    <col min="7425" max="7425" width="92.28515625" style="2" customWidth="1"/>
    <col min="7426" max="7426" width="8" style="2" customWidth="1"/>
    <col min="7427" max="7427" width="12" style="2" customWidth="1"/>
    <col min="7428" max="7428" width="10.140625" style="2" customWidth="1"/>
    <col min="7429" max="7430" width="12.140625" style="2" customWidth="1"/>
    <col min="7431" max="7436" width="0" style="2" hidden="1" customWidth="1"/>
    <col min="7437" max="7437" width="13.28515625" style="2" customWidth="1"/>
    <col min="7438" max="7438" width="0" style="2" hidden="1" customWidth="1"/>
    <col min="7439" max="7439" width="10.5703125" style="2" customWidth="1"/>
    <col min="7440" max="7440" width="10.85546875" style="2" customWidth="1"/>
    <col min="7441" max="7441" width="11.140625" style="2" customWidth="1"/>
    <col min="7442" max="7442" width="25.140625" style="2" customWidth="1"/>
    <col min="7443" max="7443" width="9.140625" style="2"/>
    <col min="7444" max="7444" width="10.7109375" style="2" bestFit="1" customWidth="1"/>
    <col min="7445" max="7676" width="9.140625" style="2"/>
    <col min="7677" max="7677" width="5.28515625" style="2" customWidth="1"/>
    <col min="7678" max="7678" width="4.5703125" style="2" customWidth="1"/>
    <col min="7679" max="7679" width="4.7109375" style="2" customWidth="1"/>
    <col min="7680" max="7680" width="7.42578125" style="2" customWidth="1"/>
    <col min="7681" max="7681" width="92.28515625" style="2" customWidth="1"/>
    <col min="7682" max="7682" width="8" style="2" customWidth="1"/>
    <col min="7683" max="7683" width="12" style="2" customWidth="1"/>
    <col min="7684" max="7684" width="10.140625" style="2" customWidth="1"/>
    <col min="7685" max="7686" width="12.140625" style="2" customWidth="1"/>
    <col min="7687" max="7692" width="0" style="2" hidden="1" customWidth="1"/>
    <col min="7693" max="7693" width="13.28515625" style="2" customWidth="1"/>
    <col min="7694" max="7694" width="0" style="2" hidden="1" customWidth="1"/>
    <col min="7695" max="7695" width="10.5703125" style="2" customWidth="1"/>
    <col min="7696" max="7696" width="10.85546875" style="2" customWidth="1"/>
    <col min="7697" max="7697" width="11.140625" style="2" customWidth="1"/>
    <col min="7698" max="7698" width="25.140625" style="2" customWidth="1"/>
    <col min="7699" max="7699" width="9.140625" style="2"/>
    <col min="7700" max="7700" width="10.7109375" style="2" bestFit="1" customWidth="1"/>
    <col min="7701" max="7932" width="9.140625" style="2"/>
    <col min="7933" max="7933" width="5.28515625" style="2" customWidth="1"/>
    <col min="7934" max="7934" width="4.5703125" style="2" customWidth="1"/>
    <col min="7935" max="7935" width="4.7109375" style="2" customWidth="1"/>
    <col min="7936" max="7936" width="7.42578125" style="2" customWidth="1"/>
    <col min="7937" max="7937" width="92.28515625" style="2" customWidth="1"/>
    <col min="7938" max="7938" width="8" style="2" customWidth="1"/>
    <col min="7939" max="7939" width="12" style="2" customWidth="1"/>
    <col min="7940" max="7940" width="10.140625" style="2" customWidth="1"/>
    <col min="7941" max="7942" width="12.140625" style="2" customWidth="1"/>
    <col min="7943" max="7948" width="0" style="2" hidden="1" customWidth="1"/>
    <col min="7949" max="7949" width="13.28515625" style="2" customWidth="1"/>
    <col min="7950" max="7950" width="0" style="2" hidden="1" customWidth="1"/>
    <col min="7951" max="7951" width="10.5703125" style="2" customWidth="1"/>
    <col min="7952" max="7952" width="10.85546875" style="2" customWidth="1"/>
    <col min="7953" max="7953" width="11.140625" style="2" customWidth="1"/>
    <col min="7954" max="7954" width="25.140625" style="2" customWidth="1"/>
    <col min="7955" max="7955" width="9.140625" style="2"/>
    <col min="7956" max="7956" width="10.7109375" style="2" bestFit="1" customWidth="1"/>
    <col min="7957" max="8188" width="9.140625" style="2"/>
    <col min="8189" max="8189" width="5.28515625" style="2" customWidth="1"/>
    <col min="8190" max="8190" width="4.5703125" style="2" customWidth="1"/>
    <col min="8191" max="8191" width="4.7109375" style="2" customWidth="1"/>
    <col min="8192" max="8192" width="7.42578125" style="2" customWidth="1"/>
    <col min="8193" max="8193" width="92.28515625" style="2" customWidth="1"/>
    <col min="8194" max="8194" width="8" style="2" customWidth="1"/>
    <col min="8195" max="8195" width="12" style="2" customWidth="1"/>
    <col min="8196" max="8196" width="10.140625" style="2" customWidth="1"/>
    <col min="8197" max="8198" width="12.140625" style="2" customWidth="1"/>
    <col min="8199" max="8204" width="0" style="2" hidden="1" customWidth="1"/>
    <col min="8205" max="8205" width="13.28515625" style="2" customWidth="1"/>
    <col min="8206" max="8206" width="0" style="2" hidden="1" customWidth="1"/>
    <col min="8207" max="8207" width="10.5703125" style="2" customWidth="1"/>
    <col min="8208" max="8208" width="10.85546875" style="2" customWidth="1"/>
    <col min="8209" max="8209" width="11.140625" style="2" customWidth="1"/>
    <col min="8210" max="8210" width="25.140625" style="2" customWidth="1"/>
    <col min="8211" max="8211" width="9.140625" style="2"/>
    <col min="8212" max="8212" width="10.7109375" style="2" bestFit="1" customWidth="1"/>
    <col min="8213" max="8444" width="9.140625" style="2"/>
    <col min="8445" max="8445" width="5.28515625" style="2" customWidth="1"/>
    <col min="8446" max="8446" width="4.5703125" style="2" customWidth="1"/>
    <col min="8447" max="8447" width="4.7109375" style="2" customWidth="1"/>
    <col min="8448" max="8448" width="7.42578125" style="2" customWidth="1"/>
    <col min="8449" max="8449" width="92.28515625" style="2" customWidth="1"/>
    <col min="8450" max="8450" width="8" style="2" customWidth="1"/>
    <col min="8451" max="8451" width="12" style="2" customWidth="1"/>
    <col min="8452" max="8452" width="10.140625" style="2" customWidth="1"/>
    <col min="8453" max="8454" width="12.140625" style="2" customWidth="1"/>
    <col min="8455" max="8460" width="0" style="2" hidden="1" customWidth="1"/>
    <col min="8461" max="8461" width="13.28515625" style="2" customWidth="1"/>
    <col min="8462" max="8462" width="0" style="2" hidden="1" customWidth="1"/>
    <col min="8463" max="8463" width="10.5703125" style="2" customWidth="1"/>
    <col min="8464" max="8464" width="10.85546875" style="2" customWidth="1"/>
    <col min="8465" max="8465" width="11.140625" style="2" customWidth="1"/>
    <col min="8466" max="8466" width="25.140625" style="2" customWidth="1"/>
    <col min="8467" max="8467" width="9.140625" style="2"/>
    <col min="8468" max="8468" width="10.7109375" style="2" bestFit="1" customWidth="1"/>
    <col min="8469" max="8700" width="9.140625" style="2"/>
    <col min="8701" max="8701" width="5.28515625" style="2" customWidth="1"/>
    <col min="8702" max="8702" width="4.5703125" style="2" customWidth="1"/>
    <col min="8703" max="8703" width="4.7109375" style="2" customWidth="1"/>
    <col min="8704" max="8704" width="7.42578125" style="2" customWidth="1"/>
    <col min="8705" max="8705" width="92.28515625" style="2" customWidth="1"/>
    <col min="8706" max="8706" width="8" style="2" customWidth="1"/>
    <col min="8707" max="8707" width="12" style="2" customWidth="1"/>
    <col min="8708" max="8708" width="10.140625" style="2" customWidth="1"/>
    <col min="8709" max="8710" width="12.140625" style="2" customWidth="1"/>
    <col min="8711" max="8716" width="0" style="2" hidden="1" customWidth="1"/>
    <col min="8717" max="8717" width="13.28515625" style="2" customWidth="1"/>
    <col min="8718" max="8718" width="0" style="2" hidden="1" customWidth="1"/>
    <col min="8719" max="8719" width="10.5703125" style="2" customWidth="1"/>
    <col min="8720" max="8720" width="10.85546875" style="2" customWidth="1"/>
    <col min="8721" max="8721" width="11.140625" style="2" customWidth="1"/>
    <col min="8722" max="8722" width="25.140625" style="2" customWidth="1"/>
    <col min="8723" max="8723" width="9.140625" style="2"/>
    <col min="8724" max="8724" width="10.7109375" style="2" bestFit="1" customWidth="1"/>
    <col min="8725" max="8956" width="9.140625" style="2"/>
    <col min="8957" max="8957" width="5.28515625" style="2" customWidth="1"/>
    <col min="8958" max="8958" width="4.5703125" style="2" customWidth="1"/>
    <col min="8959" max="8959" width="4.7109375" style="2" customWidth="1"/>
    <col min="8960" max="8960" width="7.42578125" style="2" customWidth="1"/>
    <col min="8961" max="8961" width="92.28515625" style="2" customWidth="1"/>
    <col min="8962" max="8962" width="8" style="2" customWidth="1"/>
    <col min="8963" max="8963" width="12" style="2" customWidth="1"/>
    <col min="8964" max="8964" width="10.140625" style="2" customWidth="1"/>
    <col min="8965" max="8966" width="12.140625" style="2" customWidth="1"/>
    <col min="8967" max="8972" width="0" style="2" hidden="1" customWidth="1"/>
    <col min="8973" max="8973" width="13.28515625" style="2" customWidth="1"/>
    <col min="8974" max="8974" width="0" style="2" hidden="1" customWidth="1"/>
    <col min="8975" max="8975" width="10.5703125" style="2" customWidth="1"/>
    <col min="8976" max="8976" width="10.85546875" style="2" customWidth="1"/>
    <col min="8977" max="8977" width="11.140625" style="2" customWidth="1"/>
    <col min="8978" max="8978" width="25.140625" style="2" customWidth="1"/>
    <col min="8979" max="8979" width="9.140625" style="2"/>
    <col min="8980" max="8980" width="10.7109375" style="2" bestFit="1" customWidth="1"/>
    <col min="8981" max="9212" width="9.140625" style="2"/>
    <col min="9213" max="9213" width="5.28515625" style="2" customWidth="1"/>
    <col min="9214" max="9214" width="4.5703125" style="2" customWidth="1"/>
    <col min="9215" max="9215" width="4.7109375" style="2" customWidth="1"/>
    <col min="9216" max="9216" width="7.42578125" style="2" customWidth="1"/>
    <col min="9217" max="9217" width="92.28515625" style="2" customWidth="1"/>
    <col min="9218" max="9218" width="8" style="2" customWidth="1"/>
    <col min="9219" max="9219" width="12" style="2" customWidth="1"/>
    <col min="9220" max="9220" width="10.140625" style="2" customWidth="1"/>
    <col min="9221" max="9222" width="12.140625" style="2" customWidth="1"/>
    <col min="9223" max="9228" width="0" style="2" hidden="1" customWidth="1"/>
    <col min="9229" max="9229" width="13.28515625" style="2" customWidth="1"/>
    <col min="9230" max="9230" width="0" style="2" hidden="1" customWidth="1"/>
    <col min="9231" max="9231" width="10.5703125" style="2" customWidth="1"/>
    <col min="9232" max="9232" width="10.85546875" style="2" customWidth="1"/>
    <col min="9233" max="9233" width="11.140625" style="2" customWidth="1"/>
    <col min="9234" max="9234" width="25.140625" style="2" customWidth="1"/>
    <col min="9235" max="9235" width="9.140625" style="2"/>
    <col min="9236" max="9236" width="10.7109375" style="2" bestFit="1" customWidth="1"/>
    <col min="9237" max="9468" width="9.140625" style="2"/>
    <col min="9469" max="9469" width="5.28515625" style="2" customWidth="1"/>
    <col min="9470" max="9470" width="4.5703125" style="2" customWidth="1"/>
    <col min="9471" max="9471" width="4.7109375" style="2" customWidth="1"/>
    <col min="9472" max="9472" width="7.42578125" style="2" customWidth="1"/>
    <col min="9473" max="9473" width="92.28515625" style="2" customWidth="1"/>
    <col min="9474" max="9474" width="8" style="2" customWidth="1"/>
    <col min="9475" max="9475" width="12" style="2" customWidth="1"/>
    <col min="9476" max="9476" width="10.140625" style="2" customWidth="1"/>
    <col min="9477" max="9478" width="12.140625" style="2" customWidth="1"/>
    <col min="9479" max="9484" width="0" style="2" hidden="1" customWidth="1"/>
    <col min="9485" max="9485" width="13.28515625" style="2" customWidth="1"/>
    <col min="9486" max="9486" width="0" style="2" hidden="1" customWidth="1"/>
    <col min="9487" max="9487" width="10.5703125" style="2" customWidth="1"/>
    <col min="9488" max="9488" width="10.85546875" style="2" customWidth="1"/>
    <col min="9489" max="9489" width="11.140625" style="2" customWidth="1"/>
    <col min="9490" max="9490" width="25.140625" style="2" customWidth="1"/>
    <col min="9491" max="9491" width="9.140625" style="2"/>
    <col min="9492" max="9492" width="10.7109375" style="2" bestFit="1" customWidth="1"/>
    <col min="9493" max="9724" width="9.140625" style="2"/>
    <col min="9725" max="9725" width="5.28515625" style="2" customWidth="1"/>
    <col min="9726" max="9726" width="4.5703125" style="2" customWidth="1"/>
    <col min="9727" max="9727" width="4.7109375" style="2" customWidth="1"/>
    <col min="9728" max="9728" width="7.42578125" style="2" customWidth="1"/>
    <col min="9729" max="9729" width="92.28515625" style="2" customWidth="1"/>
    <col min="9730" max="9730" width="8" style="2" customWidth="1"/>
    <col min="9731" max="9731" width="12" style="2" customWidth="1"/>
    <col min="9732" max="9732" width="10.140625" style="2" customWidth="1"/>
    <col min="9733" max="9734" width="12.140625" style="2" customWidth="1"/>
    <col min="9735" max="9740" width="0" style="2" hidden="1" customWidth="1"/>
    <col min="9741" max="9741" width="13.28515625" style="2" customWidth="1"/>
    <col min="9742" max="9742" width="0" style="2" hidden="1" customWidth="1"/>
    <col min="9743" max="9743" width="10.5703125" style="2" customWidth="1"/>
    <col min="9744" max="9744" width="10.85546875" style="2" customWidth="1"/>
    <col min="9745" max="9745" width="11.140625" style="2" customWidth="1"/>
    <col min="9746" max="9746" width="25.140625" style="2" customWidth="1"/>
    <col min="9747" max="9747" width="9.140625" style="2"/>
    <col min="9748" max="9748" width="10.7109375" style="2" bestFit="1" customWidth="1"/>
    <col min="9749" max="9980" width="9.140625" style="2"/>
    <col min="9981" max="9981" width="5.28515625" style="2" customWidth="1"/>
    <col min="9982" max="9982" width="4.5703125" style="2" customWidth="1"/>
    <col min="9983" max="9983" width="4.7109375" style="2" customWidth="1"/>
    <col min="9984" max="9984" width="7.42578125" style="2" customWidth="1"/>
    <col min="9985" max="9985" width="92.28515625" style="2" customWidth="1"/>
    <col min="9986" max="9986" width="8" style="2" customWidth="1"/>
    <col min="9987" max="9987" width="12" style="2" customWidth="1"/>
    <col min="9988" max="9988" width="10.140625" style="2" customWidth="1"/>
    <col min="9989" max="9990" width="12.140625" style="2" customWidth="1"/>
    <col min="9991" max="9996" width="0" style="2" hidden="1" customWidth="1"/>
    <col min="9997" max="9997" width="13.28515625" style="2" customWidth="1"/>
    <col min="9998" max="9998" width="0" style="2" hidden="1" customWidth="1"/>
    <col min="9999" max="9999" width="10.5703125" style="2" customWidth="1"/>
    <col min="10000" max="10000" width="10.85546875" style="2" customWidth="1"/>
    <col min="10001" max="10001" width="11.140625" style="2" customWidth="1"/>
    <col min="10002" max="10002" width="25.140625" style="2" customWidth="1"/>
    <col min="10003" max="10003" width="9.140625" style="2"/>
    <col min="10004" max="10004" width="10.7109375" style="2" bestFit="1" customWidth="1"/>
    <col min="10005" max="10236" width="9.140625" style="2"/>
    <col min="10237" max="10237" width="5.28515625" style="2" customWidth="1"/>
    <col min="10238" max="10238" width="4.5703125" style="2" customWidth="1"/>
    <col min="10239" max="10239" width="4.7109375" style="2" customWidth="1"/>
    <col min="10240" max="10240" width="7.42578125" style="2" customWidth="1"/>
    <col min="10241" max="10241" width="92.28515625" style="2" customWidth="1"/>
    <col min="10242" max="10242" width="8" style="2" customWidth="1"/>
    <col min="10243" max="10243" width="12" style="2" customWidth="1"/>
    <col min="10244" max="10244" width="10.140625" style="2" customWidth="1"/>
    <col min="10245" max="10246" width="12.140625" style="2" customWidth="1"/>
    <col min="10247" max="10252" width="0" style="2" hidden="1" customWidth="1"/>
    <col min="10253" max="10253" width="13.28515625" style="2" customWidth="1"/>
    <col min="10254" max="10254" width="0" style="2" hidden="1" customWidth="1"/>
    <col min="10255" max="10255" width="10.5703125" style="2" customWidth="1"/>
    <col min="10256" max="10256" width="10.85546875" style="2" customWidth="1"/>
    <col min="10257" max="10257" width="11.140625" style="2" customWidth="1"/>
    <col min="10258" max="10258" width="25.140625" style="2" customWidth="1"/>
    <col min="10259" max="10259" width="9.140625" style="2"/>
    <col min="10260" max="10260" width="10.7109375" style="2" bestFit="1" customWidth="1"/>
    <col min="10261" max="10492" width="9.140625" style="2"/>
    <col min="10493" max="10493" width="5.28515625" style="2" customWidth="1"/>
    <col min="10494" max="10494" width="4.5703125" style="2" customWidth="1"/>
    <col min="10495" max="10495" width="4.7109375" style="2" customWidth="1"/>
    <col min="10496" max="10496" width="7.42578125" style="2" customWidth="1"/>
    <col min="10497" max="10497" width="92.28515625" style="2" customWidth="1"/>
    <col min="10498" max="10498" width="8" style="2" customWidth="1"/>
    <col min="10499" max="10499" width="12" style="2" customWidth="1"/>
    <col min="10500" max="10500" width="10.140625" style="2" customWidth="1"/>
    <col min="10501" max="10502" width="12.140625" style="2" customWidth="1"/>
    <col min="10503" max="10508" width="0" style="2" hidden="1" customWidth="1"/>
    <col min="10509" max="10509" width="13.28515625" style="2" customWidth="1"/>
    <col min="10510" max="10510" width="0" style="2" hidden="1" customWidth="1"/>
    <col min="10511" max="10511" width="10.5703125" style="2" customWidth="1"/>
    <col min="10512" max="10512" width="10.85546875" style="2" customWidth="1"/>
    <col min="10513" max="10513" width="11.140625" style="2" customWidth="1"/>
    <col min="10514" max="10514" width="25.140625" style="2" customWidth="1"/>
    <col min="10515" max="10515" width="9.140625" style="2"/>
    <col min="10516" max="10516" width="10.7109375" style="2" bestFit="1" customWidth="1"/>
    <col min="10517" max="10748" width="9.140625" style="2"/>
    <col min="10749" max="10749" width="5.28515625" style="2" customWidth="1"/>
    <col min="10750" max="10750" width="4.5703125" style="2" customWidth="1"/>
    <col min="10751" max="10751" width="4.7109375" style="2" customWidth="1"/>
    <col min="10752" max="10752" width="7.42578125" style="2" customWidth="1"/>
    <col min="10753" max="10753" width="92.28515625" style="2" customWidth="1"/>
    <col min="10754" max="10754" width="8" style="2" customWidth="1"/>
    <col min="10755" max="10755" width="12" style="2" customWidth="1"/>
    <col min="10756" max="10756" width="10.140625" style="2" customWidth="1"/>
    <col min="10757" max="10758" width="12.140625" style="2" customWidth="1"/>
    <col min="10759" max="10764" width="0" style="2" hidden="1" customWidth="1"/>
    <col min="10765" max="10765" width="13.28515625" style="2" customWidth="1"/>
    <col min="10766" max="10766" width="0" style="2" hidden="1" customWidth="1"/>
    <col min="10767" max="10767" width="10.5703125" style="2" customWidth="1"/>
    <col min="10768" max="10768" width="10.85546875" style="2" customWidth="1"/>
    <col min="10769" max="10769" width="11.140625" style="2" customWidth="1"/>
    <col min="10770" max="10770" width="25.140625" style="2" customWidth="1"/>
    <col min="10771" max="10771" width="9.140625" style="2"/>
    <col min="10772" max="10772" width="10.7109375" style="2" bestFit="1" customWidth="1"/>
    <col min="10773" max="11004" width="9.140625" style="2"/>
    <col min="11005" max="11005" width="5.28515625" style="2" customWidth="1"/>
    <col min="11006" max="11006" width="4.5703125" style="2" customWidth="1"/>
    <col min="11007" max="11007" width="4.7109375" style="2" customWidth="1"/>
    <col min="11008" max="11008" width="7.42578125" style="2" customWidth="1"/>
    <col min="11009" max="11009" width="92.28515625" style="2" customWidth="1"/>
    <col min="11010" max="11010" width="8" style="2" customWidth="1"/>
    <col min="11011" max="11011" width="12" style="2" customWidth="1"/>
    <col min="11012" max="11012" width="10.140625" style="2" customWidth="1"/>
    <col min="11013" max="11014" width="12.140625" style="2" customWidth="1"/>
    <col min="11015" max="11020" width="0" style="2" hidden="1" customWidth="1"/>
    <col min="11021" max="11021" width="13.28515625" style="2" customWidth="1"/>
    <col min="11022" max="11022" width="0" style="2" hidden="1" customWidth="1"/>
    <col min="11023" max="11023" width="10.5703125" style="2" customWidth="1"/>
    <col min="11024" max="11024" width="10.85546875" style="2" customWidth="1"/>
    <col min="11025" max="11025" width="11.140625" style="2" customWidth="1"/>
    <col min="11026" max="11026" width="25.140625" style="2" customWidth="1"/>
    <col min="11027" max="11027" width="9.140625" style="2"/>
    <col min="11028" max="11028" width="10.7109375" style="2" bestFit="1" customWidth="1"/>
    <col min="11029" max="11260" width="9.140625" style="2"/>
    <col min="11261" max="11261" width="5.28515625" style="2" customWidth="1"/>
    <col min="11262" max="11262" width="4.5703125" style="2" customWidth="1"/>
    <col min="11263" max="11263" width="4.7109375" style="2" customWidth="1"/>
    <col min="11264" max="11264" width="7.42578125" style="2" customWidth="1"/>
    <col min="11265" max="11265" width="92.28515625" style="2" customWidth="1"/>
    <col min="11266" max="11266" width="8" style="2" customWidth="1"/>
    <col min="11267" max="11267" width="12" style="2" customWidth="1"/>
    <col min="11268" max="11268" width="10.140625" style="2" customWidth="1"/>
    <col min="11269" max="11270" width="12.140625" style="2" customWidth="1"/>
    <col min="11271" max="11276" width="0" style="2" hidden="1" customWidth="1"/>
    <col min="11277" max="11277" width="13.28515625" style="2" customWidth="1"/>
    <col min="11278" max="11278" width="0" style="2" hidden="1" customWidth="1"/>
    <col min="11279" max="11279" width="10.5703125" style="2" customWidth="1"/>
    <col min="11280" max="11280" width="10.85546875" style="2" customWidth="1"/>
    <col min="11281" max="11281" width="11.140625" style="2" customWidth="1"/>
    <col min="11282" max="11282" width="25.140625" style="2" customWidth="1"/>
    <col min="11283" max="11283" width="9.140625" style="2"/>
    <col min="11284" max="11284" width="10.7109375" style="2" bestFit="1" customWidth="1"/>
    <col min="11285" max="11516" width="9.140625" style="2"/>
    <col min="11517" max="11517" width="5.28515625" style="2" customWidth="1"/>
    <col min="11518" max="11518" width="4.5703125" style="2" customWidth="1"/>
    <col min="11519" max="11519" width="4.7109375" style="2" customWidth="1"/>
    <col min="11520" max="11520" width="7.42578125" style="2" customWidth="1"/>
    <col min="11521" max="11521" width="92.28515625" style="2" customWidth="1"/>
    <col min="11522" max="11522" width="8" style="2" customWidth="1"/>
    <col min="11523" max="11523" width="12" style="2" customWidth="1"/>
    <col min="11524" max="11524" width="10.140625" style="2" customWidth="1"/>
    <col min="11525" max="11526" width="12.140625" style="2" customWidth="1"/>
    <col min="11527" max="11532" width="0" style="2" hidden="1" customWidth="1"/>
    <col min="11533" max="11533" width="13.28515625" style="2" customWidth="1"/>
    <col min="11534" max="11534" width="0" style="2" hidden="1" customWidth="1"/>
    <col min="11535" max="11535" width="10.5703125" style="2" customWidth="1"/>
    <col min="11536" max="11536" width="10.85546875" style="2" customWidth="1"/>
    <col min="11537" max="11537" width="11.140625" style="2" customWidth="1"/>
    <col min="11538" max="11538" width="25.140625" style="2" customWidth="1"/>
    <col min="11539" max="11539" width="9.140625" style="2"/>
    <col min="11540" max="11540" width="10.7109375" style="2" bestFit="1" customWidth="1"/>
    <col min="11541" max="11772" width="9.140625" style="2"/>
    <col min="11773" max="11773" width="5.28515625" style="2" customWidth="1"/>
    <col min="11774" max="11774" width="4.5703125" style="2" customWidth="1"/>
    <col min="11775" max="11775" width="4.7109375" style="2" customWidth="1"/>
    <col min="11776" max="11776" width="7.42578125" style="2" customWidth="1"/>
    <col min="11777" max="11777" width="92.28515625" style="2" customWidth="1"/>
    <col min="11778" max="11778" width="8" style="2" customWidth="1"/>
    <col min="11779" max="11779" width="12" style="2" customWidth="1"/>
    <col min="11780" max="11780" width="10.140625" style="2" customWidth="1"/>
    <col min="11781" max="11782" width="12.140625" style="2" customWidth="1"/>
    <col min="11783" max="11788" width="0" style="2" hidden="1" customWidth="1"/>
    <col min="11789" max="11789" width="13.28515625" style="2" customWidth="1"/>
    <col min="11790" max="11790" width="0" style="2" hidden="1" customWidth="1"/>
    <col min="11791" max="11791" width="10.5703125" style="2" customWidth="1"/>
    <col min="11792" max="11792" width="10.85546875" style="2" customWidth="1"/>
    <col min="11793" max="11793" width="11.140625" style="2" customWidth="1"/>
    <col min="11794" max="11794" width="25.140625" style="2" customWidth="1"/>
    <col min="11795" max="11795" width="9.140625" style="2"/>
    <col min="11796" max="11796" width="10.7109375" style="2" bestFit="1" customWidth="1"/>
    <col min="11797" max="12028" width="9.140625" style="2"/>
    <col min="12029" max="12029" width="5.28515625" style="2" customWidth="1"/>
    <col min="12030" max="12030" width="4.5703125" style="2" customWidth="1"/>
    <col min="12031" max="12031" width="4.7109375" style="2" customWidth="1"/>
    <col min="12032" max="12032" width="7.42578125" style="2" customWidth="1"/>
    <col min="12033" max="12033" width="92.28515625" style="2" customWidth="1"/>
    <col min="12034" max="12034" width="8" style="2" customWidth="1"/>
    <col min="12035" max="12035" width="12" style="2" customWidth="1"/>
    <col min="12036" max="12036" width="10.140625" style="2" customWidth="1"/>
    <col min="12037" max="12038" width="12.140625" style="2" customWidth="1"/>
    <col min="12039" max="12044" width="0" style="2" hidden="1" customWidth="1"/>
    <col min="12045" max="12045" width="13.28515625" style="2" customWidth="1"/>
    <col min="12046" max="12046" width="0" style="2" hidden="1" customWidth="1"/>
    <col min="12047" max="12047" width="10.5703125" style="2" customWidth="1"/>
    <col min="12048" max="12048" width="10.85546875" style="2" customWidth="1"/>
    <col min="12049" max="12049" width="11.140625" style="2" customWidth="1"/>
    <col min="12050" max="12050" width="25.140625" style="2" customWidth="1"/>
    <col min="12051" max="12051" width="9.140625" style="2"/>
    <col min="12052" max="12052" width="10.7109375" style="2" bestFit="1" customWidth="1"/>
    <col min="12053" max="12284" width="9.140625" style="2"/>
    <col min="12285" max="12285" width="5.28515625" style="2" customWidth="1"/>
    <col min="12286" max="12286" width="4.5703125" style="2" customWidth="1"/>
    <col min="12287" max="12287" width="4.7109375" style="2" customWidth="1"/>
    <col min="12288" max="12288" width="7.42578125" style="2" customWidth="1"/>
    <col min="12289" max="12289" width="92.28515625" style="2" customWidth="1"/>
    <col min="12290" max="12290" width="8" style="2" customWidth="1"/>
    <col min="12291" max="12291" width="12" style="2" customWidth="1"/>
    <col min="12292" max="12292" width="10.140625" style="2" customWidth="1"/>
    <col min="12293" max="12294" width="12.140625" style="2" customWidth="1"/>
    <col min="12295" max="12300" width="0" style="2" hidden="1" customWidth="1"/>
    <col min="12301" max="12301" width="13.28515625" style="2" customWidth="1"/>
    <col min="12302" max="12302" width="0" style="2" hidden="1" customWidth="1"/>
    <col min="12303" max="12303" width="10.5703125" style="2" customWidth="1"/>
    <col min="12304" max="12304" width="10.85546875" style="2" customWidth="1"/>
    <col min="12305" max="12305" width="11.140625" style="2" customWidth="1"/>
    <col min="12306" max="12306" width="25.140625" style="2" customWidth="1"/>
    <col min="12307" max="12307" width="9.140625" style="2"/>
    <col min="12308" max="12308" width="10.7109375" style="2" bestFit="1" customWidth="1"/>
    <col min="12309" max="12540" width="9.140625" style="2"/>
    <col min="12541" max="12541" width="5.28515625" style="2" customWidth="1"/>
    <col min="12542" max="12542" width="4.5703125" style="2" customWidth="1"/>
    <col min="12543" max="12543" width="4.7109375" style="2" customWidth="1"/>
    <col min="12544" max="12544" width="7.42578125" style="2" customWidth="1"/>
    <col min="12545" max="12545" width="92.28515625" style="2" customWidth="1"/>
    <col min="12546" max="12546" width="8" style="2" customWidth="1"/>
    <col min="12547" max="12547" width="12" style="2" customWidth="1"/>
    <col min="12548" max="12548" width="10.140625" style="2" customWidth="1"/>
    <col min="12549" max="12550" width="12.140625" style="2" customWidth="1"/>
    <col min="12551" max="12556" width="0" style="2" hidden="1" customWidth="1"/>
    <col min="12557" max="12557" width="13.28515625" style="2" customWidth="1"/>
    <col min="12558" max="12558" width="0" style="2" hidden="1" customWidth="1"/>
    <col min="12559" max="12559" width="10.5703125" style="2" customWidth="1"/>
    <col min="12560" max="12560" width="10.85546875" style="2" customWidth="1"/>
    <col min="12561" max="12561" width="11.140625" style="2" customWidth="1"/>
    <col min="12562" max="12562" width="25.140625" style="2" customWidth="1"/>
    <col min="12563" max="12563" width="9.140625" style="2"/>
    <col min="12564" max="12564" width="10.7109375" style="2" bestFit="1" customWidth="1"/>
    <col min="12565" max="12796" width="9.140625" style="2"/>
    <col min="12797" max="12797" width="5.28515625" style="2" customWidth="1"/>
    <col min="12798" max="12798" width="4.5703125" style="2" customWidth="1"/>
    <col min="12799" max="12799" width="4.7109375" style="2" customWidth="1"/>
    <col min="12800" max="12800" width="7.42578125" style="2" customWidth="1"/>
    <col min="12801" max="12801" width="92.28515625" style="2" customWidth="1"/>
    <col min="12802" max="12802" width="8" style="2" customWidth="1"/>
    <col min="12803" max="12803" width="12" style="2" customWidth="1"/>
    <col min="12804" max="12804" width="10.140625" style="2" customWidth="1"/>
    <col min="12805" max="12806" width="12.140625" style="2" customWidth="1"/>
    <col min="12807" max="12812" width="0" style="2" hidden="1" customWidth="1"/>
    <col min="12813" max="12813" width="13.28515625" style="2" customWidth="1"/>
    <col min="12814" max="12814" width="0" style="2" hidden="1" customWidth="1"/>
    <col min="12815" max="12815" width="10.5703125" style="2" customWidth="1"/>
    <col min="12816" max="12816" width="10.85546875" style="2" customWidth="1"/>
    <col min="12817" max="12817" width="11.140625" style="2" customWidth="1"/>
    <col min="12818" max="12818" width="25.140625" style="2" customWidth="1"/>
    <col min="12819" max="12819" width="9.140625" style="2"/>
    <col min="12820" max="12820" width="10.7109375" style="2" bestFit="1" customWidth="1"/>
    <col min="12821" max="13052" width="9.140625" style="2"/>
    <col min="13053" max="13053" width="5.28515625" style="2" customWidth="1"/>
    <col min="13054" max="13054" width="4.5703125" style="2" customWidth="1"/>
    <col min="13055" max="13055" width="4.7109375" style="2" customWidth="1"/>
    <col min="13056" max="13056" width="7.42578125" style="2" customWidth="1"/>
    <col min="13057" max="13057" width="92.28515625" style="2" customWidth="1"/>
    <col min="13058" max="13058" width="8" style="2" customWidth="1"/>
    <col min="13059" max="13059" width="12" style="2" customWidth="1"/>
    <col min="13060" max="13060" width="10.140625" style="2" customWidth="1"/>
    <col min="13061" max="13062" width="12.140625" style="2" customWidth="1"/>
    <col min="13063" max="13068" width="0" style="2" hidden="1" customWidth="1"/>
    <col min="13069" max="13069" width="13.28515625" style="2" customWidth="1"/>
    <col min="13070" max="13070" width="0" style="2" hidden="1" customWidth="1"/>
    <col min="13071" max="13071" width="10.5703125" style="2" customWidth="1"/>
    <col min="13072" max="13072" width="10.85546875" style="2" customWidth="1"/>
    <col min="13073" max="13073" width="11.140625" style="2" customWidth="1"/>
    <col min="13074" max="13074" width="25.140625" style="2" customWidth="1"/>
    <col min="13075" max="13075" width="9.140625" style="2"/>
    <col min="13076" max="13076" width="10.7109375" style="2" bestFit="1" customWidth="1"/>
    <col min="13077" max="13308" width="9.140625" style="2"/>
    <col min="13309" max="13309" width="5.28515625" style="2" customWidth="1"/>
    <col min="13310" max="13310" width="4.5703125" style="2" customWidth="1"/>
    <col min="13311" max="13311" width="4.7109375" style="2" customWidth="1"/>
    <col min="13312" max="13312" width="7.42578125" style="2" customWidth="1"/>
    <col min="13313" max="13313" width="92.28515625" style="2" customWidth="1"/>
    <col min="13314" max="13314" width="8" style="2" customWidth="1"/>
    <col min="13315" max="13315" width="12" style="2" customWidth="1"/>
    <col min="13316" max="13316" width="10.140625" style="2" customWidth="1"/>
    <col min="13317" max="13318" width="12.140625" style="2" customWidth="1"/>
    <col min="13319" max="13324" width="0" style="2" hidden="1" customWidth="1"/>
    <col min="13325" max="13325" width="13.28515625" style="2" customWidth="1"/>
    <col min="13326" max="13326" width="0" style="2" hidden="1" customWidth="1"/>
    <col min="13327" max="13327" width="10.5703125" style="2" customWidth="1"/>
    <col min="13328" max="13328" width="10.85546875" style="2" customWidth="1"/>
    <col min="13329" max="13329" width="11.140625" style="2" customWidth="1"/>
    <col min="13330" max="13330" width="25.140625" style="2" customWidth="1"/>
    <col min="13331" max="13331" width="9.140625" style="2"/>
    <col min="13332" max="13332" width="10.7109375" style="2" bestFit="1" customWidth="1"/>
    <col min="13333" max="13564" width="9.140625" style="2"/>
    <col min="13565" max="13565" width="5.28515625" style="2" customWidth="1"/>
    <col min="13566" max="13566" width="4.5703125" style="2" customWidth="1"/>
    <col min="13567" max="13567" width="4.7109375" style="2" customWidth="1"/>
    <col min="13568" max="13568" width="7.42578125" style="2" customWidth="1"/>
    <col min="13569" max="13569" width="92.28515625" style="2" customWidth="1"/>
    <col min="13570" max="13570" width="8" style="2" customWidth="1"/>
    <col min="13571" max="13571" width="12" style="2" customWidth="1"/>
    <col min="13572" max="13572" width="10.140625" style="2" customWidth="1"/>
    <col min="13573" max="13574" width="12.140625" style="2" customWidth="1"/>
    <col min="13575" max="13580" width="0" style="2" hidden="1" customWidth="1"/>
    <col min="13581" max="13581" width="13.28515625" style="2" customWidth="1"/>
    <col min="13582" max="13582" width="0" style="2" hidden="1" customWidth="1"/>
    <col min="13583" max="13583" width="10.5703125" style="2" customWidth="1"/>
    <col min="13584" max="13584" width="10.85546875" style="2" customWidth="1"/>
    <col min="13585" max="13585" width="11.140625" style="2" customWidth="1"/>
    <col min="13586" max="13586" width="25.140625" style="2" customWidth="1"/>
    <col min="13587" max="13587" width="9.140625" style="2"/>
    <col min="13588" max="13588" width="10.7109375" style="2" bestFit="1" customWidth="1"/>
    <col min="13589" max="13820" width="9.140625" style="2"/>
    <col min="13821" max="13821" width="5.28515625" style="2" customWidth="1"/>
    <col min="13822" max="13822" width="4.5703125" style="2" customWidth="1"/>
    <col min="13823" max="13823" width="4.7109375" style="2" customWidth="1"/>
    <col min="13824" max="13824" width="7.42578125" style="2" customWidth="1"/>
    <col min="13825" max="13825" width="92.28515625" style="2" customWidth="1"/>
    <col min="13826" max="13826" width="8" style="2" customWidth="1"/>
    <col min="13827" max="13827" width="12" style="2" customWidth="1"/>
    <col min="13828" max="13828" width="10.140625" style="2" customWidth="1"/>
    <col min="13829" max="13830" width="12.140625" style="2" customWidth="1"/>
    <col min="13831" max="13836" width="0" style="2" hidden="1" customWidth="1"/>
    <col min="13837" max="13837" width="13.28515625" style="2" customWidth="1"/>
    <col min="13838" max="13838" width="0" style="2" hidden="1" customWidth="1"/>
    <col min="13839" max="13839" width="10.5703125" style="2" customWidth="1"/>
    <col min="13840" max="13840" width="10.85546875" style="2" customWidth="1"/>
    <col min="13841" max="13841" width="11.140625" style="2" customWidth="1"/>
    <col min="13842" max="13842" width="25.140625" style="2" customWidth="1"/>
    <col min="13843" max="13843" width="9.140625" style="2"/>
    <col min="13844" max="13844" width="10.7109375" style="2" bestFit="1" customWidth="1"/>
    <col min="13845" max="14076" width="9.140625" style="2"/>
    <col min="14077" max="14077" width="5.28515625" style="2" customWidth="1"/>
    <col min="14078" max="14078" width="4.5703125" style="2" customWidth="1"/>
    <col min="14079" max="14079" width="4.7109375" style="2" customWidth="1"/>
    <col min="14080" max="14080" width="7.42578125" style="2" customWidth="1"/>
    <col min="14081" max="14081" width="92.28515625" style="2" customWidth="1"/>
    <col min="14082" max="14082" width="8" style="2" customWidth="1"/>
    <col min="14083" max="14083" width="12" style="2" customWidth="1"/>
    <col min="14084" max="14084" width="10.140625" style="2" customWidth="1"/>
    <col min="14085" max="14086" width="12.140625" style="2" customWidth="1"/>
    <col min="14087" max="14092" width="0" style="2" hidden="1" customWidth="1"/>
    <col min="14093" max="14093" width="13.28515625" style="2" customWidth="1"/>
    <col min="14094" max="14094" width="0" style="2" hidden="1" customWidth="1"/>
    <col min="14095" max="14095" width="10.5703125" style="2" customWidth="1"/>
    <col min="14096" max="14096" width="10.85546875" style="2" customWidth="1"/>
    <col min="14097" max="14097" width="11.140625" style="2" customWidth="1"/>
    <col min="14098" max="14098" width="25.140625" style="2" customWidth="1"/>
    <col min="14099" max="14099" width="9.140625" style="2"/>
    <col min="14100" max="14100" width="10.7109375" style="2" bestFit="1" customWidth="1"/>
    <col min="14101" max="14332" width="9.140625" style="2"/>
    <col min="14333" max="14333" width="5.28515625" style="2" customWidth="1"/>
    <col min="14334" max="14334" width="4.5703125" style="2" customWidth="1"/>
    <col min="14335" max="14335" width="4.7109375" style="2" customWidth="1"/>
    <col min="14336" max="14336" width="7.42578125" style="2" customWidth="1"/>
    <col min="14337" max="14337" width="92.28515625" style="2" customWidth="1"/>
    <col min="14338" max="14338" width="8" style="2" customWidth="1"/>
    <col min="14339" max="14339" width="12" style="2" customWidth="1"/>
    <col min="14340" max="14340" width="10.140625" style="2" customWidth="1"/>
    <col min="14341" max="14342" width="12.140625" style="2" customWidth="1"/>
    <col min="14343" max="14348" width="0" style="2" hidden="1" customWidth="1"/>
    <col min="14349" max="14349" width="13.28515625" style="2" customWidth="1"/>
    <col min="14350" max="14350" width="0" style="2" hidden="1" customWidth="1"/>
    <col min="14351" max="14351" width="10.5703125" style="2" customWidth="1"/>
    <col min="14352" max="14352" width="10.85546875" style="2" customWidth="1"/>
    <col min="14353" max="14353" width="11.140625" style="2" customWidth="1"/>
    <col min="14354" max="14354" width="25.140625" style="2" customWidth="1"/>
    <col min="14355" max="14355" width="9.140625" style="2"/>
    <col min="14356" max="14356" width="10.7109375" style="2" bestFit="1" customWidth="1"/>
    <col min="14357" max="14588" width="9.140625" style="2"/>
    <col min="14589" max="14589" width="5.28515625" style="2" customWidth="1"/>
    <col min="14590" max="14590" width="4.5703125" style="2" customWidth="1"/>
    <col min="14591" max="14591" width="4.7109375" style="2" customWidth="1"/>
    <col min="14592" max="14592" width="7.42578125" style="2" customWidth="1"/>
    <col min="14593" max="14593" width="92.28515625" style="2" customWidth="1"/>
    <col min="14594" max="14594" width="8" style="2" customWidth="1"/>
    <col min="14595" max="14595" width="12" style="2" customWidth="1"/>
    <col min="14596" max="14596" width="10.140625" style="2" customWidth="1"/>
    <col min="14597" max="14598" width="12.140625" style="2" customWidth="1"/>
    <col min="14599" max="14604" width="0" style="2" hidden="1" customWidth="1"/>
    <col min="14605" max="14605" width="13.28515625" style="2" customWidth="1"/>
    <col min="14606" max="14606" width="0" style="2" hidden="1" customWidth="1"/>
    <col min="14607" max="14607" width="10.5703125" style="2" customWidth="1"/>
    <col min="14608" max="14608" width="10.85546875" style="2" customWidth="1"/>
    <col min="14609" max="14609" width="11.140625" style="2" customWidth="1"/>
    <col min="14610" max="14610" width="25.140625" style="2" customWidth="1"/>
    <col min="14611" max="14611" width="9.140625" style="2"/>
    <col min="14612" max="14612" width="10.7109375" style="2" bestFit="1" customWidth="1"/>
    <col min="14613" max="14844" width="9.140625" style="2"/>
    <col min="14845" max="14845" width="5.28515625" style="2" customWidth="1"/>
    <col min="14846" max="14846" width="4.5703125" style="2" customWidth="1"/>
    <col min="14847" max="14847" width="4.7109375" style="2" customWidth="1"/>
    <col min="14848" max="14848" width="7.42578125" style="2" customWidth="1"/>
    <col min="14849" max="14849" width="92.28515625" style="2" customWidth="1"/>
    <col min="14850" max="14850" width="8" style="2" customWidth="1"/>
    <col min="14851" max="14851" width="12" style="2" customWidth="1"/>
    <col min="14852" max="14852" width="10.140625" style="2" customWidth="1"/>
    <col min="14853" max="14854" width="12.140625" style="2" customWidth="1"/>
    <col min="14855" max="14860" width="0" style="2" hidden="1" customWidth="1"/>
    <col min="14861" max="14861" width="13.28515625" style="2" customWidth="1"/>
    <col min="14862" max="14862" width="0" style="2" hidden="1" customWidth="1"/>
    <col min="14863" max="14863" width="10.5703125" style="2" customWidth="1"/>
    <col min="14864" max="14864" width="10.85546875" style="2" customWidth="1"/>
    <col min="14865" max="14865" width="11.140625" style="2" customWidth="1"/>
    <col min="14866" max="14866" width="25.140625" style="2" customWidth="1"/>
    <col min="14867" max="14867" width="9.140625" style="2"/>
    <col min="14868" max="14868" width="10.7109375" style="2" bestFit="1" customWidth="1"/>
    <col min="14869" max="15100" width="9.140625" style="2"/>
    <col min="15101" max="15101" width="5.28515625" style="2" customWidth="1"/>
    <col min="15102" max="15102" width="4.5703125" style="2" customWidth="1"/>
    <col min="15103" max="15103" width="4.7109375" style="2" customWidth="1"/>
    <col min="15104" max="15104" width="7.42578125" style="2" customWidth="1"/>
    <col min="15105" max="15105" width="92.28515625" style="2" customWidth="1"/>
    <col min="15106" max="15106" width="8" style="2" customWidth="1"/>
    <col min="15107" max="15107" width="12" style="2" customWidth="1"/>
    <col min="15108" max="15108" width="10.140625" style="2" customWidth="1"/>
    <col min="15109" max="15110" width="12.140625" style="2" customWidth="1"/>
    <col min="15111" max="15116" width="0" style="2" hidden="1" customWidth="1"/>
    <col min="15117" max="15117" width="13.28515625" style="2" customWidth="1"/>
    <col min="15118" max="15118" width="0" style="2" hidden="1" customWidth="1"/>
    <col min="15119" max="15119" width="10.5703125" style="2" customWidth="1"/>
    <col min="15120" max="15120" width="10.85546875" style="2" customWidth="1"/>
    <col min="15121" max="15121" width="11.140625" style="2" customWidth="1"/>
    <col min="15122" max="15122" width="25.140625" style="2" customWidth="1"/>
    <col min="15123" max="15123" width="9.140625" style="2"/>
    <col min="15124" max="15124" width="10.7109375" style="2" bestFit="1" customWidth="1"/>
    <col min="15125" max="15356" width="9.140625" style="2"/>
    <col min="15357" max="15357" width="5.28515625" style="2" customWidth="1"/>
    <col min="15358" max="15358" width="4.5703125" style="2" customWidth="1"/>
    <col min="15359" max="15359" width="4.7109375" style="2" customWidth="1"/>
    <col min="15360" max="15360" width="7.42578125" style="2" customWidth="1"/>
    <col min="15361" max="15361" width="92.28515625" style="2" customWidth="1"/>
    <col min="15362" max="15362" width="8" style="2" customWidth="1"/>
    <col min="15363" max="15363" width="12" style="2" customWidth="1"/>
    <col min="15364" max="15364" width="10.140625" style="2" customWidth="1"/>
    <col min="15365" max="15366" width="12.140625" style="2" customWidth="1"/>
    <col min="15367" max="15372" width="0" style="2" hidden="1" customWidth="1"/>
    <col min="15373" max="15373" width="13.28515625" style="2" customWidth="1"/>
    <col min="15374" max="15374" width="0" style="2" hidden="1" customWidth="1"/>
    <col min="15375" max="15375" width="10.5703125" style="2" customWidth="1"/>
    <col min="15376" max="15376" width="10.85546875" style="2" customWidth="1"/>
    <col min="15377" max="15377" width="11.140625" style="2" customWidth="1"/>
    <col min="15378" max="15378" width="25.140625" style="2" customWidth="1"/>
    <col min="15379" max="15379" width="9.140625" style="2"/>
    <col min="15380" max="15380" width="10.7109375" style="2" bestFit="1" customWidth="1"/>
    <col min="15381" max="15612" width="9.140625" style="2"/>
    <col min="15613" max="15613" width="5.28515625" style="2" customWidth="1"/>
    <col min="15614" max="15614" width="4.5703125" style="2" customWidth="1"/>
    <col min="15615" max="15615" width="4.7109375" style="2" customWidth="1"/>
    <col min="15616" max="15616" width="7.42578125" style="2" customWidth="1"/>
    <col min="15617" max="15617" width="92.28515625" style="2" customWidth="1"/>
    <col min="15618" max="15618" width="8" style="2" customWidth="1"/>
    <col min="15619" max="15619" width="12" style="2" customWidth="1"/>
    <col min="15620" max="15620" width="10.140625" style="2" customWidth="1"/>
    <col min="15621" max="15622" width="12.140625" style="2" customWidth="1"/>
    <col min="15623" max="15628" width="0" style="2" hidden="1" customWidth="1"/>
    <col min="15629" max="15629" width="13.28515625" style="2" customWidth="1"/>
    <col min="15630" max="15630" width="0" style="2" hidden="1" customWidth="1"/>
    <col min="15631" max="15631" width="10.5703125" style="2" customWidth="1"/>
    <col min="15632" max="15632" width="10.85546875" style="2" customWidth="1"/>
    <col min="15633" max="15633" width="11.140625" style="2" customWidth="1"/>
    <col min="15634" max="15634" width="25.140625" style="2" customWidth="1"/>
    <col min="15635" max="15635" width="9.140625" style="2"/>
    <col min="15636" max="15636" width="10.7109375" style="2" bestFit="1" customWidth="1"/>
    <col min="15637" max="15868" width="9.140625" style="2"/>
    <col min="15869" max="15869" width="5.28515625" style="2" customWidth="1"/>
    <col min="15870" max="15870" width="4.5703125" style="2" customWidth="1"/>
    <col min="15871" max="15871" width="4.7109375" style="2" customWidth="1"/>
    <col min="15872" max="15872" width="7.42578125" style="2" customWidth="1"/>
    <col min="15873" max="15873" width="92.28515625" style="2" customWidth="1"/>
    <col min="15874" max="15874" width="8" style="2" customWidth="1"/>
    <col min="15875" max="15875" width="12" style="2" customWidth="1"/>
    <col min="15876" max="15876" width="10.140625" style="2" customWidth="1"/>
    <col min="15877" max="15878" width="12.140625" style="2" customWidth="1"/>
    <col min="15879" max="15884" width="0" style="2" hidden="1" customWidth="1"/>
    <col min="15885" max="15885" width="13.28515625" style="2" customWidth="1"/>
    <col min="15886" max="15886" width="0" style="2" hidden="1" customWidth="1"/>
    <col min="15887" max="15887" width="10.5703125" style="2" customWidth="1"/>
    <col min="15888" max="15888" width="10.85546875" style="2" customWidth="1"/>
    <col min="15889" max="15889" width="11.140625" style="2" customWidth="1"/>
    <col min="15890" max="15890" width="25.140625" style="2" customWidth="1"/>
    <col min="15891" max="15891" width="9.140625" style="2"/>
    <col min="15892" max="15892" width="10.7109375" style="2" bestFit="1" customWidth="1"/>
    <col min="15893" max="16124" width="9.140625" style="2"/>
    <col min="16125" max="16125" width="5.28515625" style="2" customWidth="1"/>
    <col min="16126" max="16126" width="4.5703125" style="2" customWidth="1"/>
    <col min="16127" max="16127" width="4.7109375" style="2" customWidth="1"/>
    <col min="16128" max="16128" width="7.42578125" style="2" customWidth="1"/>
    <col min="16129" max="16129" width="92.28515625" style="2" customWidth="1"/>
    <col min="16130" max="16130" width="8" style="2" customWidth="1"/>
    <col min="16131" max="16131" width="12" style="2" customWidth="1"/>
    <col min="16132" max="16132" width="10.140625" style="2" customWidth="1"/>
    <col min="16133" max="16134" width="12.140625" style="2" customWidth="1"/>
    <col min="16135" max="16140" width="0" style="2" hidden="1" customWidth="1"/>
    <col min="16141" max="16141" width="13.28515625" style="2" customWidth="1"/>
    <col min="16142" max="16142" width="0" style="2" hidden="1" customWidth="1"/>
    <col min="16143" max="16143" width="10.5703125" style="2" customWidth="1"/>
    <col min="16144" max="16144" width="10.85546875" style="2" customWidth="1"/>
    <col min="16145" max="16145" width="11.140625" style="2" customWidth="1"/>
    <col min="16146" max="16146" width="25.140625" style="2" customWidth="1"/>
    <col min="16147" max="16147" width="9.140625" style="2"/>
    <col min="16148" max="16148" width="10.7109375" style="2" bestFit="1" customWidth="1"/>
    <col min="16149" max="16384" width="9.140625" style="2"/>
  </cols>
  <sheetData>
    <row r="1" spans="1:16" ht="17.25" customHeight="1">
      <c r="A1" s="2" t="s">
        <v>0</v>
      </c>
      <c r="G1" s="54"/>
      <c r="I1" s="2"/>
      <c r="J1" s="2"/>
      <c r="K1" s="223" t="s">
        <v>102</v>
      </c>
      <c r="L1" s="223"/>
      <c r="M1" s="223"/>
      <c r="N1" s="223"/>
      <c r="O1" s="223"/>
      <c r="P1" s="223"/>
    </row>
    <row r="2" spans="1:16" ht="15" customHeight="1">
      <c r="A2" s="2" t="s">
        <v>2</v>
      </c>
      <c r="G2" s="54"/>
      <c r="I2" s="2"/>
      <c r="J2" s="39"/>
      <c r="K2" s="223" t="s">
        <v>431</v>
      </c>
      <c r="L2" s="223"/>
      <c r="M2" s="223"/>
      <c r="N2" s="223"/>
      <c r="O2" s="223"/>
      <c r="P2" s="223"/>
    </row>
    <row r="3" spans="1:16" ht="15" customHeight="1">
      <c r="A3" s="2" t="s">
        <v>103</v>
      </c>
      <c r="G3" s="54"/>
      <c r="I3" s="2"/>
      <c r="J3" s="39"/>
      <c r="K3" s="223" t="s">
        <v>408</v>
      </c>
      <c r="L3" s="223"/>
      <c r="M3" s="223"/>
      <c r="N3" s="223"/>
      <c r="O3" s="223"/>
      <c r="P3" s="223"/>
    </row>
    <row r="4" spans="1:16">
      <c r="A4" s="2" t="s">
        <v>104</v>
      </c>
      <c r="G4" s="54"/>
      <c r="I4" s="55"/>
      <c r="J4" s="39"/>
      <c r="M4" s="2"/>
      <c r="N4" s="136"/>
      <c r="P4" s="39"/>
    </row>
    <row r="5" spans="1:16" ht="15.75" customHeight="1">
      <c r="A5" s="270" t="s">
        <v>433</v>
      </c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</row>
    <row r="6" spans="1:16" ht="15.75" customHeight="1">
      <c r="A6" s="270"/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</row>
    <row r="7" spans="1:16" ht="15.75" customHeight="1">
      <c r="A7" s="270" t="s">
        <v>427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</row>
    <row r="8" spans="1:16" ht="20.45" customHeight="1" thickBot="1">
      <c r="A8" s="280" t="s">
        <v>5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</row>
    <row r="9" spans="1:16" s="56" customFormat="1" ht="31.5" customHeight="1">
      <c r="A9" s="275"/>
      <c r="B9" s="267"/>
      <c r="C9" s="267"/>
      <c r="D9" s="267" t="s">
        <v>6</v>
      </c>
      <c r="E9" s="267"/>
      <c r="F9" s="267" t="s">
        <v>105</v>
      </c>
      <c r="G9" s="278" t="s">
        <v>417</v>
      </c>
      <c r="H9" s="265" t="s">
        <v>106</v>
      </c>
      <c r="I9" s="266"/>
      <c r="J9" s="267" t="s">
        <v>420</v>
      </c>
      <c r="K9" s="265" t="s">
        <v>410</v>
      </c>
      <c r="L9" s="266"/>
      <c r="M9" s="266"/>
      <c r="N9" s="281"/>
      <c r="O9" s="267" t="s">
        <v>8</v>
      </c>
      <c r="P9" s="271" t="s">
        <v>8</v>
      </c>
    </row>
    <row r="10" spans="1:16" s="56" customFormat="1" ht="37.5" customHeight="1">
      <c r="A10" s="276"/>
      <c r="B10" s="268"/>
      <c r="C10" s="268"/>
      <c r="D10" s="268"/>
      <c r="E10" s="268"/>
      <c r="F10" s="268"/>
      <c r="G10" s="279"/>
      <c r="H10" s="273" t="s">
        <v>418</v>
      </c>
      <c r="I10" s="274"/>
      <c r="J10" s="268"/>
      <c r="K10" s="273" t="s">
        <v>107</v>
      </c>
      <c r="L10" s="274"/>
      <c r="M10" s="274"/>
      <c r="N10" s="282"/>
      <c r="O10" s="268"/>
      <c r="P10" s="272"/>
    </row>
    <row r="11" spans="1:16" s="56" customFormat="1" ht="51.75" customHeight="1" thickBot="1">
      <c r="A11" s="277"/>
      <c r="B11" s="269"/>
      <c r="C11" s="269"/>
      <c r="D11" s="269"/>
      <c r="E11" s="269"/>
      <c r="F11" s="269"/>
      <c r="G11" s="149" t="s">
        <v>108</v>
      </c>
      <c r="H11" s="147" t="s">
        <v>109</v>
      </c>
      <c r="I11" s="150" t="s">
        <v>110</v>
      </c>
      <c r="J11" s="269"/>
      <c r="K11" s="118" t="s">
        <v>111</v>
      </c>
      <c r="L11" s="119" t="s">
        <v>112</v>
      </c>
      <c r="M11" s="118" t="s">
        <v>113</v>
      </c>
      <c r="N11" s="135" t="s">
        <v>419</v>
      </c>
      <c r="O11" s="151" t="s">
        <v>114</v>
      </c>
      <c r="P11" s="152" t="s">
        <v>115</v>
      </c>
    </row>
    <row r="12" spans="1:16" s="58" customFormat="1" ht="20.25" customHeight="1">
      <c r="A12" s="120">
        <v>0</v>
      </c>
      <c r="B12" s="283">
        <v>1</v>
      </c>
      <c r="C12" s="283"/>
      <c r="D12" s="283">
        <v>2</v>
      </c>
      <c r="E12" s="283"/>
      <c r="F12" s="120">
        <v>3</v>
      </c>
      <c r="G12" s="153" t="s">
        <v>116</v>
      </c>
      <c r="H12" s="120">
        <v>4</v>
      </c>
      <c r="I12" s="154" t="s">
        <v>117</v>
      </c>
      <c r="J12" s="120">
        <v>5</v>
      </c>
      <c r="K12" s="120" t="s">
        <v>118</v>
      </c>
      <c r="L12" s="120" t="s">
        <v>119</v>
      </c>
      <c r="M12" s="120" t="s">
        <v>120</v>
      </c>
      <c r="N12" s="137">
        <v>6</v>
      </c>
      <c r="O12" s="120">
        <v>7</v>
      </c>
      <c r="P12" s="120">
        <v>8</v>
      </c>
    </row>
    <row r="13" spans="1:16" s="60" customFormat="1" ht="27.75" customHeight="1">
      <c r="A13" s="65" t="s">
        <v>12</v>
      </c>
      <c r="B13" s="65"/>
      <c r="C13" s="65"/>
      <c r="D13" s="284" t="s">
        <v>121</v>
      </c>
      <c r="E13" s="284"/>
      <c r="F13" s="65">
        <v>1</v>
      </c>
      <c r="G13" s="133">
        <f t="shared" ref="G13" si="0">G14+G34</f>
        <v>4753.0290000000014</v>
      </c>
      <c r="H13" s="59"/>
      <c r="I13" s="59">
        <f t="shared" ref="I13:J13" si="1">I14+I34</f>
        <v>5536.1</v>
      </c>
      <c r="J13" s="165">
        <f t="shared" si="1"/>
        <v>5806.7329999999993</v>
      </c>
      <c r="K13" s="59">
        <f t="shared" ref="K13:N13" si="2">K14+K34</f>
        <v>1460.9900000000002</v>
      </c>
      <c r="L13" s="59">
        <f t="shared" si="2"/>
        <v>2924.9800000000005</v>
      </c>
      <c r="M13" s="59">
        <f t="shared" si="2"/>
        <v>4387.4699999999993</v>
      </c>
      <c r="N13" s="138">
        <f t="shared" si="2"/>
        <v>5843.9600000000009</v>
      </c>
      <c r="O13" s="66">
        <f t="shared" ref="O13:O44" si="3">IF(N13=0,"0",N13/J13)</f>
        <v>1.0064110059821938</v>
      </c>
      <c r="P13" s="66">
        <f t="shared" ref="P13:P44" si="4">IF(G13=0,"0",J13/G13)</f>
        <v>1.2216910521690478</v>
      </c>
    </row>
    <row r="14" spans="1:16" s="60" customFormat="1" ht="30" customHeight="1">
      <c r="A14" s="285"/>
      <c r="B14" s="65">
        <v>1</v>
      </c>
      <c r="C14" s="65"/>
      <c r="D14" s="284" t="s">
        <v>122</v>
      </c>
      <c r="E14" s="284"/>
      <c r="F14" s="65">
        <v>2</v>
      </c>
      <c r="G14" s="59">
        <f t="shared" ref="G14" si="5">G15+G20+G21+G24+G25+G26</f>
        <v>4752.929000000001</v>
      </c>
      <c r="H14" s="65"/>
      <c r="I14" s="59">
        <f t="shared" ref="I14:J14" si="6">I15+I20+I21+I24+I25+I26</f>
        <v>5536</v>
      </c>
      <c r="J14" s="134">
        <f t="shared" si="6"/>
        <v>5806.6039999999994</v>
      </c>
      <c r="K14" s="59">
        <f t="shared" ref="K14:N14" si="7">K15+K20+K21+K24+K25+K26</f>
        <v>1460.9650000000001</v>
      </c>
      <c r="L14" s="59">
        <f t="shared" si="7"/>
        <v>2924.9300000000003</v>
      </c>
      <c r="M14" s="59">
        <f t="shared" si="7"/>
        <v>4387.3949999999995</v>
      </c>
      <c r="N14" s="138">
        <f t="shared" si="7"/>
        <v>5843.8600000000006</v>
      </c>
      <c r="O14" s="66">
        <f t="shared" si="3"/>
        <v>1.0064161427230101</v>
      </c>
      <c r="P14" s="66">
        <f t="shared" si="4"/>
        <v>1.2216896149721568</v>
      </c>
    </row>
    <row r="15" spans="1:16" s="60" customFormat="1" ht="24" customHeight="1">
      <c r="A15" s="285"/>
      <c r="B15" s="285"/>
      <c r="C15" s="65" t="s">
        <v>15</v>
      </c>
      <c r="D15" s="284" t="s">
        <v>123</v>
      </c>
      <c r="E15" s="284"/>
      <c r="F15" s="65">
        <v>3</v>
      </c>
      <c r="G15" s="59">
        <f>G16+G17+G18+G19</f>
        <v>4517.2610000000013</v>
      </c>
      <c r="H15" s="65"/>
      <c r="I15" s="59">
        <f t="shared" ref="I15:J15" si="8">I16+I17+I18+I19</f>
        <v>5234</v>
      </c>
      <c r="J15" s="134">
        <f t="shared" si="8"/>
        <v>5601.1839999999993</v>
      </c>
      <c r="K15" s="59">
        <f t="shared" ref="K15:N15" si="9">K16+K17+K18+K19</f>
        <v>1385.8150000000001</v>
      </c>
      <c r="L15" s="59">
        <f t="shared" si="9"/>
        <v>2771.63</v>
      </c>
      <c r="M15" s="59">
        <f t="shared" si="9"/>
        <v>4157.4449999999997</v>
      </c>
      <c r="N15" s="138">
        <f t="shared" si="9"/>
        <v>5543.26</v>
      </c>
      <c r="O15" s="66">
        <f t="shared" si="3"/>
        <v>0.98965861503567831</v>
      </c>
      <c r="P15" s="66">
        <f t="shared" si="4"/>
        <v>1.2399513776157716</v>
      </c>
    </row>
    <row r="16" spans="1:16" ht="16.5" customHeight="1">
      <c r="A16" s="285"/>
      <c r="B16" s="285"/>
      <c r="C16" s="285"/>
      <c r="D16" s="67" t="s">
        <v>124</v>
      </c>
      <c r="E16" s="148" t="s">
        <v>125</v>
      </c>
      <c r="F16" s="67">
        <v>4</v>
      </c>
      <c r="G16" s="167">
        <f>3300.15+877.02+23.028+144.345+0.18</f>
        <v>4344.7230000000009</v>
      </c>
      <c r="H16" s="67"/>
      <c r="I16" s="170">
        <v>5029</v>
      </c>
      <c r="J16" s="167">
        <f>3776.528+1014.584+34.888+448.33+137.619</f>
        <v>5411.9489999999996</v>
      </c>
      <c r="K16" s="61">
        <f>N16/4</f>
        <v>1341.0650000000001</v>
      </c>
      <c r="L16" s="61">
        <f>(N16/4)+K16</f>
        <v>2682.13</v>
      </c>
      <c r="M16" s="61">
        <f>(N16/4)+L16</f>
        <v>4023.1950000000002</v>
      </c>
      <c r="N16" s="139">
        <v>5364.26</v>
      </c>
      <c r="O16" s="68">
        <f t="shared" si="3"/>
        <v>0.99118820225393856</v>
      </c>
      <c r="P16" s="68">
        <f t="shared" si="4"/>
        <v>1.2456372937929527</v>
      </c>
    </row>
    <row r="17" spans="1:16" ht="16.5" customHeight="1">
      <c r="A17" s="285"/>
      <c r="B17" s="285"/>
      <c r="C17" s="285"/>
      <c r="D17" s="67" t="s">
        <v>126</v>
      </c>
      <c r="E17" s="148" t="s">
        <v>127</v>
      </c>
      <c r="F17" s="67">
        <v>5</v>
      </c>
      <c r="G17" s="167">
        <f>21+20.914+33.633+6.114+29.411+1.366</f>
        <v>112.438</v>
      </c>
      <c r="H17" s="67"/>
      <c r="I17" s="170">
        <v>120</v>
      </c>
      <c r="J17" s="167">
        <f>21.649+18.205+49.938+20.568+29.411</f>
        <v>139.77100000000002</v>
      </c>
      <c r="K17" s="61">
        <f t="shared" ref="K17:K27" si="10">N17/4</f>
        <v>23.5</v>
      </c>
      <c r="L17" s="61">
        <f>(N17/4)+K17</f>
        <v>47</v>
      </c>
      <c r="M17" s="61">
        <f>(N17/4)+L17</f>
        <v>70.5</v>
      </c>
      <c r="N17" s="139">
        <v>94</v>
      </c>
      <c r="O17" s="68">
        <f t="shared" si="3"/>
        <v>0.67252863612623504</v>
      </c>
      <c r="P17" s="68">
        <f t="shared" si="4"/>
        <v>1.2430939717888971</v>
      </c>
    </row>
    <row r="18" spans="1:16" ht="18" customHeight="1">
      <c r="A18" s="285"/>
      <c r="B18" s="285"/>
      <c r="C18" s="285"/>
      <c r="D18" s="67" t="s">
        <v>128</v>
      </c>
      <c r="E18" s="148" t="s">
        <v>129</v>
      </c>
      <c r="F18" s="67">
        <v>6</v>
      </c>
      <c r="G18" s="167">
        <v>11.21</v>
      </c>
      <c r="H18" s="67"/>
      <c r="I18" s="170">
        <v>15</v>
      </c>
      <c r="J18" s="167">
        <v>11.46</v>
      </c>
      <c r="K18" s="61">
        <f t="shared" si="10"/>
        <v>3.75</v>
      </c>
      <c r="L18" s="61">
        <f>(N18/4)+K18</f>
        <v>7.5</v>
      </c>
      <c r="M18" s="61">
        <f>(N18/4)+L18</f>
        <v>11.25</v>
      </c>
      <c r="N18" s="139">
        <v>15</v>
      </c>
      <c r="O18" s="68">
        <f t="shared" si="3"/>
        <v>1.3089005235602094</v>
      </c>
      <c r="P18" s="68">
        <f t="shared" si="4"/>
        <v>1.0223015165031222</v>
      </c>
    </row>
    <row r="19" spans="1:16" ht="18" customHeight="1">
      <c r="A19" s="285"/>
      <c r="B19" s="285"/>
      <c r="C19" s="285"/>
      <c r="D19" s="67" t="s">
        <v>130</v>
      </c>
      <c r="E19" s="148" t="s">
        <v>131</v>
      </c>
      <c r="F19" s="67">
        <v>7</v>
      </c>
      <c r="G19" s="167">
        <f>7.53+18.5+20.1+2.76</f>
        <v>48.89</v>
      </c>
      <c r="H19" s="67"/>
      <c r="I19" s="170">
        <v>70</v>
      </c>
      <c r="J19" s="167">
        <f>6.413+16.4+19.93-4.739</f>
        <v>38.003999999999998</v>
      </c>
      <c r="K19" s="61">
        <f t="shared" si="10"/>
        <v>17.5</v>
      </c>
      <c r="L19" s="61">
        <f>(N19/4)+K19</f>
        <v>35</v>
      </c>
      <c r="M19" s="61">
        <f>(N19/4)+L19</f>
        <v>52.5</v>
      </c>
      <c r="N19" s="139">
        <v>70</v>
      </c>
      <c r="O19" s="68">
        <f t="shared" si="3"/>
        <v>1.8419113777497107</v>
      </c>
      <c r="P19" s="68">
        <f t="shared" si="4"/>
        <v>0.77733687870730206</v>
      </c>
    </row>
    <row r="20" spans="1:16" ht="21.75" customHeight="1">
      <c r="A20" s="285"/>
      <c r="B20" s="285"/>
      <c r="C20" s="67" t="s">
        <v>17</v>
      </c>
      <c r="D20" s="286" t="s">
        <v>132</v>
      </c>
      <c r="E20" s="286"/>
      <c r="F20" s="67">
        <v>8</v>
      </c>
      <c r="G20" s="167"/>
      <c r="H20" s="67"/>
      <c r="I20" s="170">
        <v>0</v>
      </c>
      <c r="J20" s="167"/>
      <c r="K20" s="61">
        <v>0</v>
      </c>
      <c r="L20" s="61">
        <v>0</v>
      </c>
      <c r="M20" s="61">
        <v>0</v>
      </c>
      <c r="N20" s="139">
        <v>0</v>
      </c>
      <c r="O20" s="68" t="str">
        <f t="shared" si="3"/>
        <v>0</v>
      </c>
      <c r="P20" s="68" t="str">
        <f t="shared" si="4"/>
        <v>0</v>
      </c>
    </row>
    <row r="21" spans="1:16" s="62" customFormat="1" ht="31.5" customHeight="1">
      <c r="A21" s="285"/>
      <c r="B21" s="285"/>
      <c r="C21" s="65" t="s">
        <v>65</v>
      </c>
      <c r="D21" s="284" t="s">
        <v>133</v>
      </c>
      <c r="E21" s="284"/>
      <c r="F21" s="65">
        <v>9</v>
      </c>
      <c r="G21" s="134">
        <f t="shared" ref="G21" si="11">G22+G23</f>
        <v>0</v>
      </c>
      <c r="H21" s="71"/>
      <c r="I21" s="59">
        <v>0</v>
      </c>
      <c r="J21" s="134">
        <f>J22+J23</f>
        <v>0</v>
      </c>
      <c r="K21" s="63">
        <f t="shared" ref="K21:M21" si="12">K22+K23</f>
        <v>0</v>
      </c>
      <c r="L21" s="63">
        <f t="shared" si="12"/>
        <v>0</v>
      </c>
      <c r="M21" s="63">
        <f t="shared" si="12"/>
        <v>0</v>
      </c>
      <c r="N21" s="138">
        <v>0</v>
      </c>
      <c r="O21" s="66" t="str">
        <f t="shared" si="3"/>
        <v>0</v>
      </c>
      <c r="P21" s="66" t="str">
        <f t="shared" si="4"/>
        <v>0</v>
      </c>
    </row>
    <row r="22" spans="1:16" ht="20.25" customHeight="1">
      <c r="A22" s="285"/>
      <c r="B22" s="285"/>
      <c r="C22" s="285"/>
      <c r="D22" s="67" t="s">
        <v>134</v>
      </c>
      <c r="E22" s="148" t="s">
        <v>135</v>
      </c>
      <c r="F22" s="67">
        <v>10</v>
      </c>
      <c r="G22" s="167"/>
      <c r="H22" s="67"/>
      <c r="I22" s="170">
        <v>0</v>
      </c>
      <c r="J22" s="167"/>
      <c r="K22" s="61">
        <f t="shared" si="10"/>
        <v>0</v>
      </c>
      <c r="L22" s="61">
        <f>(N22/4)+K22</f>
        <v>0</v>
      </c>
      <c r="M22" s="61">
        <f>(N22/4)+L22</f>
        <v>0</v>
      </c>
      <c r="N22" s="139">
        <v>0</v>
      </c>
      <c r="O22" s="68" t="str">
        <f t="shared" si="3"/>
        <v>0</v>
      </c>
      <c r="P22" s="68" t="str">
        <f t="shared" si="4"/>
        <v>0</v>
      </c>
    </row>
    <row r="23" spans="1:16" ht="21" customHeight="1">
      <c r="A23" s="285"/>
      <c r="B23" s="285"/>
      <c r="C23" s="285"/>
      <c r="D23" s="67" t="s">
        <v>136</v>
      </c>
      <c r="E23" s="148" t="s">
        <v>137</v>
      </c>
      <c r="F23" s="67">
        <v>11</v>
      </c>
      <c r="G23" s="167"/>
      <c r="H23" s="67"/>
      <c r="I23" s="170">
        <v>0</v>
      </c>
      <c r="J23" s="167"/>
      <c r="K23" s="61">
        <f t="shared" si="10"/>
        <v>0</v>
      </c>
      <c r="L23" s="61">
        <f>(N23/4)+K23</f>
        <v>0</v>
      </c>
      <c r="M23" s="61">
        <f>(N23/4)+L23</f>
        <v>0</v>
      </c>
      <c r="N23" s="139">
        <v>0</v>
      </c>
      <c r="O23" s="68" t="str">
        <f t="shared" si="3"/>
        <v>0</v>
      </c>
      <c r="P23" s="68" t="str">
        <f t="shared" si="4"/>
        <v>0</v>
      </c>
    </row>
    <row r="24" spans="1:16" ht="16.5" customHeight="1">
      <c r="A24" s="285"/>
      <c r="B24" s="285"/>
      <c r="C24" s="67" t="s">
        <v>75</v>
      </c>
      <c r="D24" s="286" t="s">
        <v>138</v>
      </c>
      <c r="E24" s="286"/>
      <c r="F24" s="67">
        <v>12</v>
      </c>
      <c r="G24" s="167"/>
      <c r="H24" s="67"/>
      <c r="I24" s="170">
        <v>0</v>
      </c>
      <c r="J24" s="167"/>
      <c r="K24" s="61">
        <f t="shared" si="10"/>
        <v>0</v>
      </c>
      <c r="L24" s="61">
        <f>(N24/4)+K24</f>
        <v>0</v>
      </c>
      <c r="M24" s="61">
        <f>(N24/4)+L24</f>
        <v>0</v>
      </c>
      <c r="N24" s="139">
        <v>0</v>
      </c>
      <c r="O24" s="68" t="str">
        <f t="shared" si="3"/>
        <v>0</v>
      </c>
      <c r="P24" s="68" t="str">
        <f t="shared" si="4"/>
        <v>0</v>
      </c>
    </row>
    <row r="25" spans="1:16" ht="22.5" customHeight="1">
      <c r="A25" s="285"/>
      <c r="B25" s="285"/>
      <c r="C25" s="67" t="s">
        <v>77</v>
      </c>
      <c r="D25" s="286" t="s">
        <v>139</v>
      </c>
      <c r="E25" s="286"/>
      <c r="F25" s="67">
        <v>13</v>
      </c>
      <c r="G25" s="167"/>
      <c r="H25" s="67"/>
      <c r="I25" s="170">
        <v>0</v>
      </c>
      <c r="J25" s="167"/>
      <c r="K25" s="61">
        <f t="shared" si="10"/>
        <v>0</v>
      </c>
      <c r="L25" s="61">
        <f>(N25/4)+K25</f>
        <v>0</v>
      </c>
      <c r="M25" s="61">
        <f>(N25/4)+L25</f>
        <v>0</v>
      </c>
      <c r="N25" s="139">
        <v>0</v>
      </c>
      <c r="O25" s="68" t="str">
        <f t="shared" si="3"/>
        <v>0</v>
      </c>
      <c r="P25" s="68" t="str">
        <f t="shared" si="4"/>
        <v>0</v>
      </c>
    </row>
    <row r="26" spans="1:16" s="62" customFormat="1" ht="24" customHeight="1">
      <c r="A26" s="285"/>
      <c r="B26" s="285"/>
      <c r="C26" s="65" t="s">
        <v>140</v>
      </c>
      <c r="D26" s="284" t="s">
        <v>141</v>
      </c>
      <c r="E26" s="284"/>
      <c r="F26" s="65">
        <v>14</v>
      </c>
      <c r="G26" s="59">
        <f t="shared" ref="G26" si="13">G27+G28+G31+G32+G33</f>
        <v>235.66800000000001</v>
      </c>
      <c r="H26" s="71"/>
      <c r="I26" s="59">
        <f t="shared" ref="I26" si="14">I27+I28+I31+I32+I33</f>
        <v>302</v>
      </c>
      <c r="J26" s="134">
        <f>J27+J28+J31+J32+J33</f>
        <v>205.42</v>
      </c>
      <c r="K26" s="63">
        <f t="shared" ref="K26:N26" si="15">K27+K28+K31+K32+K33</f>
        <v>75.150000000000006</v>
      </c>
      <c r="L26" s="63">
        <f t="shared" si="15"/>
        <v>153.30000000000001</v>
      </c>
      <c r="M26" s="63">
        <f t="shared" si="15"/>
        <v>229.95000000000002</v>
      </c>
      <c r="N26" s="138">
        <f t="shared" si="15"/>
        <v>300.60000000000002</v>
      </c>
      <c r="O26" s="66">
        <f t="shared" si="3"/>
        <v>1.463343394022004</v>
      </c>
      <c r="P26" s="66">
        <f t="shared" si="4"/>
        <v>0.87164994823225883</v>
      </c>
    </row>
    <row r="27" spans="1:16" ht="16.5" customHeight="1">
      <c r="A27" s="285"/>
      <c r="B27" s="285"/>
      <c r="C27" s="285"/>
      <c r="D27" s="67" t="s">
        <v>142</v>
      </c>
      <c r="E27" s="148" t="s">
        <v>143</v>
      </c>
      <c r="F27" s="67">
        <v>15</v>
      </c>
      <c r="G27" s="167">
        <f>3.508+1.77</f>
        <v>5.2780000000000005</v>
      </c>
      <c r="H27" s="67"/>
      <c r="I27" s="170">
        <v>2</v>
      </c>
      <c r="J27" s="167">
        <f>0.154+0.309</f>
        <v>0.46299999999999997</v>
      </c>
      <c r="K27" s="61">
        <f t="shared" si="10"/>
        <v>0.5</v>
      </c>
      <c r="L27" s="61">
        <v>4</v>
      </c>
      <c r="M27" s="61">
        <v>6</v>
      </c>
      <c r="N27" s="139">
        <v>2</v>
      </c>
      <c r="O27" s="68">
        <f t="shared" si="3"/>
        <v>4.3196544276457889</v>
      </c>
      <c r="P27" s="68">
        <f t="shared" si="4"/>
        <v>8.772262220538081E-2</v>
      </c>
    </row>
    <row r="28" spans="1:16" s="62" customFormat="1" ht="30" customHeight="1">
      <c r="A28" s="285"/>
      <c r="B28" s="285"/>
      <c r="C28" s="285"/>
      <c r="D28" s="155" t="s">
        <v>144</v>
      </c>
      <c r="E28" s="156" t="s">
        <v>145</v>
      </c>
      <c r="F28" s="155">
        <v>16</v>
      </c>
      <c r="G28" s="59">
        <f>G29+G30</f>
        <v>0</v>
      </c>
      <c r="H28" s="71"/>
      <c r="I28" s="59">
        <f>I29+I30</f>
        <v>0</v>
      </c>
      <c r="J28" s="134">
        <f>J29+J30</f>
        <v>0</v>
      </c>
      <c r="K28" s="63">
        <f>N28/4</f>
        <v>0</v>
      </c>
      <c r="L28" s="63">
        <f>(N28/4)+K28</f>
        <v>0</v>
      </c>
      <c r="M28" s="63">
        <f>(N28/4)+L28</f>
        <v>0</v>
      </c>
      <c r="N28" s="138">
        <f>N29+N30</f>
        <v>0</v>
      </c>
      <c r="O28" s="66" t="str">
        <f t="shared" si="3"/>
        <v>0</v>
      </c>
      <c r="P28" s="66" t="str">
        <f t="shared" si="4"/>
        <v>0</v>
      </c>
    </row>
    <row r="29" spans="1:16" ht="19.5" customHeight="1">
      <c r="A29" s="285"/>
      <c r="B29" s="285"/>
      <c r="C29" s="285"/>
      <c r="D29" s="67"/>
      <c r="E29" s="148" t="s">
        <v>146</v>
      </c>
      <c r="F29" s="67">
        <v>17</v>
      </c>
      <c r="G29" s="167"/>
      <c r="H29" s="67"/>
      <c r="I29" s="170"/>
      <c r="J29" s="167"/>
      <c r="K29" s="61"/>
      <c r="L29" s="61"/>
      <c r="M29" s="61"/>
      <c r="N29" s="139"/>
      <c r="O29" s="68" t="str">
        <f t="shared" si="3"/>
        <v>0</v>
      </c>
      <c r="P29" s="68" t="str">
        <f t="shared" si="4"/>
        <v>0</v>
      </c>
    </row>
    <row r="30" spans="1:16" ht="16.5" customHeight="1">
      <c r="A30" s="285"/>
      <c r="B30" s="285"/>
      <c r="C30" s="285"/>
      <c r="D30" s="67"/>
      <c r="E30" s="148" t="s">
        <v>147</v>
      </c>
      <c r="F30" s="67">
        <v>18</v>
      </c>
      <c r="G30" s="167"/>
      <c r="H30" s="67"/>
      <c r="I30" s="170"/>
      <c r="J30" s="167"/>
      <c r="K30" s="61"/>
      <c r="L30" s="61"/>
      <c r="M30" s="61"/>
      <c r="N30" s="139"/>
      <c r="O30" s="68" t="str">
        <f t="shared" si="3"/>
        <v>0</v>
      </c>
      <c r="P30" s="68" t="str">
        <f t="shared" si="4"/>
        <v>0</v>
      </c>
    </row>
    <row r="31" spans="1:16" ht="20.100000000000001" customHeight="1">
      <c r="A31" s="285"/>
      <c r="B31" s="285"/>
      <c r="C31" s="285"/>
      <c r="D31" s="67" t="s">
        <v>148</v>
      </c>
      <c r="E31" s="148" t="s">
        <v>149</v>
      </c>
      <c r="F31" s="67">
        <v>19</v>
      </c>
      <c r="G31" s="167"/>
      <c r="H31" s="67"/>
      <c r="I31" s="170"/>
      <c r="J31" s="167"/>
      <c r="K31" s="61"/>
      <c r="L31" s="61"/>
      <c r="M31" s="61"/>
      <c r="N31" s="139"/>
      <c r="O31" s="68" t="str">
        <f t="shared" si="3"/>
        <v>0</v>
      </c>
      <c r="P31" s="68" t="str">
        <f t="shared" si="4"/>
        <v>0</v>
      </c>
    </row>
    <row r="32" spans="1:16" ht="21" customHeight="1">
      <c r="A32" s="285"/>
      <c r="B32" s="285"/>
      <c r="C32" s="285"/>
      <c r="D32" s="67" t="s">
        <v>150</v>
      </c>
      <c r="E32" s="148" t="s">
        <v>151</v>
      </c>
      <c r="F32" s="67">
        <v>20</v>
      </c>
      <c r="G32" s="167"/>
      <c r="H32" s="67"/>
      <c r="I32" s="170"/>
      <c r="J32" s="167"/>
      <c r="K32" s="61"/>
      <c r="L32" s="61"/>
      <c r="M32" s="61"/>
      <c r="N32" s="139"/>
      <c r="O32" s="68" t="str">
        <f t="shared" si="3"/>
        <v>0</v>
      </c>
      <c r="P32" s="68" t="str">
        <f t="shared" si="4"/>
        <v>0</v>
      </c>
    </row>
    <row r="33" spans="1:20" ht="18.75" customHeight="1">
      <c r="A33" s="285"/>
      <c r="B33" s="285"/>
      <c r="C33" s="285"/>
      <c r="D33" s="67" t="s">
        <v>152</v>
      </c>
      <c r="E33" s="148" t="s">
        <v>153</v>
      </c>
      <c r="F33" s="67">
        <v>21</v>
      </c>
      <c r="G33" s="167">
        <f>17.71+212.68</f>
        <v>230.39000000000001</v>
      </c>
      <c r="H33" s="67"/>
      <c r="I33" s="170">
        <v>300</v>
      </c>
      <c r="J33" s="167">
        <f>21.04+183.917</f>
        <v>204.95699999999999</v>
      </c>
      <c r="K33" s="61">
        <f>N33/4</f>
        <v>74.650000000000006</v>
      </c>
      <c r="L33" s="61">
        <f>(N33/4)+K33</f>
        <v>149.30000000000001</v>
      </c>
      <c r="M33" s="61">
        <f>(N33/4)+L33</f>
        <v>223.95000000000002</v>
      </c>
      <c r="N33" s="139">
        <v>298.60000000000002</v>
      </c>
      <c r="O33" s="68">
        <f t="shared" si="3"/>
        <v>1.4568909576155</v>
      </c>
      <c r="P33" s="68">
        <f t="shared" si="4"/>
        <v>0.88960892399843738</v>
      </c>
    </row>
    <row r="34" spans="1:20" s="33" customFormat="1" ht="25.5" customHeight="1">
      <c r="A34" s="285"/>
      <c r="B34" s="65">
        <v>2</v>
      </c>
      <c r="C34" s="65"/>
      <c r="D34" s="284" t="s">
        <v>154</v>
      </c>
      <c r="E34" s="284"/>
      <c r="F34" s="65">
        <v>22</v>
      </c>
      <c r="G34" s="134">
        <f t="shared" ref="G34" si="16">G35+G36+G37+G38+G39</f>
        <v>0.1</v>
      </c>
      <c r="H34" s="65"/>
      <c r="I34" s="59">
        <f t="shared" ref="I34:J34" si="17">I35+I36+I37+I38+I39</f>
        <v>0.1</v>
      </c>
      <c r="J34" s="134">
        <f t="shared" si="17"/>
        <v>0.129</v>
      </c>
      <c r="K34" s="59">
        <f t="shared" ref="K34:N34" si="18">K35+K36+K37+K38+K39</f>
        <v>2.5000000000000001E-2</v>
      </c>
      <c r="L34" s="59">
        <f t="shared" si="18"/>
        <v>0.05</v>
      </c>
      <c r="M34" s="59">
        <f t="shared" si="18"/>
        <v>7.5000000000000011E-2</v>
      </c>
      <c r="N34" s="138">
        <f t="shared" si="18"/>
        <v>0.1</v>
      </c>
      <c r="O34" s="66">
        <f t="shared" si="3"/>
        <v>0.77519379844961245</v>
      </c>
      <c r="P34" s="66">
        <f t="shared" si="4"/>
        <v>1.29</v>
      </c>
    </row>
    <row r="35" spans="1:20" ht="18" customHeight="1">
      <c r="A35" s="285"/>
      <c r="B35" s="285"/>
      <c r="C35" s="67" t="s">
        <v>15</v>
      </c>
      <c r="D35" s="286" t="s">
        <v>155</v>
      </c>
      <c r="E35" s="286"/>
      <c r="F35" s="67">
        <v>23</v>
      </c>
      <c r="G35" s="167"/>
      <c r="H35" s="67"/>
      <c r="I35" s="170"/>
      <c r="J35" s="167"/>
      <c r="K35" s="61"/>
      <c r="L35" s="61"/>
      <c r="M35" s="61"/>
      <c r="N35" s="139"/>
      <c r="O35" s="68" t="str">
        <f t="shared" si="3"/>
        <v>0</v>
      </c>
      <c r="P35" s="69" t="str">
        <f t="shared" si="4"/>
        <v>0</v>
      </c>
    </row>
    <row r="36" spans="1:20" ht="16.5" customHeight="1">
      <c r="A36" s="285"/>
      <c r="B36" s="285"/>
      <c r="C36" s="67" t="s">
        <v>17</v>
      </c>
      <c r="D36" s="286" t="s">
        <v>156</v>
      </c>
      <c r="E36" s="286"/>
      <c r="F36" s="67">
        <v>24</v>
      </c>
      <c r="G36" s="167"/>
      <c r="H36" s="67"/>
      <c r="I36" s="170"/>
      <c r="J36" s="167"/>
      <c r="K36" s="61"/>
      <c r="L36" s="61"/>
      <c r="M36" s="61"/>
      <c r="N36" s="139"/>
      <c r="O36" s="68" t="str">
        <f t="shared" si="3"/>
        <v>0</v>
      </c>
      <c r="P36" s="69" t="str">
        <f t="shared" si="4"/>
        <v>0</v>
      </c>
    </row>
    <row r="37" spans="1:20" ht="16.5" customHeight="1">
      <c r="A37" s="285"/>
      <c r="B37" s="285"/>
      <c r="C37" s="67" t="s">
        <v>65</v>
      </c>
      <c r="D37" s="286" t="s">
        <v>157</v>
      </c>
      <c r="E37" s="286"/>
      <c r="F37" s="67">
        <v>25</v>
      </c>
      <c r="G37" s="167"/>
      <c r="H37" s="67"/>
      <c r="I37" s="170">
        <v>0</v>
      </c>
      <c r="J37" s="167"/>
      <c r="K37" s="61"/>
      <c r="L37" s="61"/>
      <c r="M37" s="61"/>
      <c r="N37" s="139">
        <v>0</v>
      </c>
      <c r="O37" s="68" t="str">
        <f t="shared" si="3"/>
        <v>0</v>
      </c>
      <c r="P37" s="69" t="str">
        <f t="shared" si="4"/>
        <v>0</v>
      </c>
    </row>
    <row r="38" spans="1:20" ht="16.5" customHeight="1">
      <c r="A38" s="285"/>
      <c r="B38" s="285"/>
      <c r="C38" s="67" t="s">
        <v>75</v>
      </c>
      <c r="D38" s="286" t="s">
        <v>158</v>
      </c>
      <c r="E38" s="286"/>
      <c r="F38" s="67">
        <v>26</v>
      </c>
      <c r="G38" s="167">
        <v>0.1</v>
      </c>
      <c r="H38" s="67"/>
      <c r="I38" s="170">
        <v>0.1</v>
      </c>
      <c r="J38" s="167">
        <v>0.129</v>
      </c>
      <c r="K38" s="61">
        <f>N38/4</f>
        <v>2.5000000000000001E-2</v>
      </c>
      <c r="L38" s="61">
        <f>(N38/4)+K38</f>
        <v>0.05</v>
      </c>
      <c r="M38" s="61">
        <f>(N38/4)+L38</f>
        <v>7.5000000000000011E-2</v>
      </c>
      <c r="N38" s="139">
        <v>0.1</v>
      </c>
      <c r="O38" s="68">
        <f t="shared" si="3"/>
        <v>0.77519379844961245</v>
      </c>
      <c r="P38" s="69">
        <f t="shared" si="4"/>
        <v>1.29</v>
      </c>
    </row>
    <row r="39" spans="1:20" ht="16.5" customHeight="1">
      <c r="A39" s="285"/>
      <c r="B39" s="285"/>
      <c r="C39" s="67" t="s">
        <v>77</v>
      </c>
      <c r="D39" s="286" t="s">
        <v>159</v>
      </c>
      <c r="E39" s="286"/>
      <c r="F39" s="67">
        <v>27</v>
      </c>
      <c r="G39" s="167"/>
      <c r="H39" s="67"/>
      <c r="I39" s="170"/>
      <c r="J39" s="167"/>
      <c r="K39" s="61"/>
      <c r="L39" s="61"/>
      <c r="M39" s="61"/>
      <c r="N39" s="139"/>
      <c r="O39" s="68" t="str">
        <f t="shared" si="3"/>
        <v>0</v>
      </c>
      <c r="P39" s="69" t="str">
        <f t="shared" si="4"/>
        <v>0</v>
      </c>
    </row>
    <row r="40" spans="1:20" s="60" customFormat="1" ht="25.5" customHeight="1">
      <c r="A40" s="65" t="s">
        <v>160</v>
      </c>
      <c r="B40" s="287" t="s">
        <v>161</v>
      </c>
      <c r="C40" s="287"/>
      <c r="D40" s="287"/>
      <c r="E40" s="287"/>
      <c r="F40" s="65">
        <v>28</v>
      </c>
      <c r="G40" s="59">
        <f>G41+G142</f>
        <v>3877.884</v>
      </c>
      <c r="H40" s="59"/>
      <c r="I40" s="170">
        <f t="shared" ref="I40:J40" si="19">I41+I142</f>
        <v>4944.1840000000002</v>
      </c>
      <c r="J40" s="134">
        <f t="shared" si="19"/>
        <v>4655.53</v>
      </c>
      <c r="K40" s="59">
        <f t="shared" ref="K40:N40" si="20">K41+K142</f>
        <v>1415.3397500000001</v>
      </c>
      <c r="L40" s="59">
        <f t="shared" si="20"/>
        <v>2502.2394999999997</v>
      </c>
      <c r="M40" s="59">
        <f t="shared" si="20"/>
        <v>3753.35925</v>
      </c>
      <c r="N40" s="139">
        <f t="shared" si="20"/>
        <v>5243.6009999999997</v>
      </c>
      <c r="O40" s="66">
        <f t="shared" si="3"/>
        <v>1.1263166599721193</v>
      </c>
      <c r="P40" s="66">
        <f t="shared" si="4"/>
        <v>1.2005335899681371</v>
      </c>
    </row>
    <row r="41" spans="1:20" s="60" customFormat="1" ht="23.25" customHeight="1">
      <c r="A41" s="285"/>
      <c r="B41" s="65">
        <v>1</v>
      </c>
      <c r="C41" s="287" t="s">
        <v>162</v>
      </c>
      <c r="D41" s="287"/>
      <c r="E41" s="287"/>
      <c r="F41" s="65">
        <v>29</v>
      </c>
      <c r="G41" s="59">
        <f>G42+G90+G97+G125</f>
        <v>3877.837</v>
      </c>
      <c r="H41" s="59"/>
      <c r="I41" s="170">
        <f t="shared" ref="I41" si="21">I42+I90+I97+I125</f>
        <v>4943.1840000000002</v>
      </c>
      <c r="J41" s="134">
        <f>J42+J90+J97+J125</f>
        <v>4655.4830000000002</v>
      </c>
      <c r="K41" s="59">
        <f t="shared" ref="K41:N41" si="22">K42+K90+K97+K125</f>
        <v>1415.3397500000001</v>
      </c>
      <c r="L41" s="59">
        <f t="shared" si="22"/>
        <v>2502.2394999999997</v>
      </c>
      <c r="M41" s="59">
        <f t="shared" si="22"/>
        <v>3753.35925</v>
      </c>
      <c r="N41" s="139">
        <f t="shared" si="22"/>
        <v>5242.6009999999997</v>
      </c>
      <c r="O41" s="66">
        <f t="shared" si="3"/>
        <v>1.1261132303565493</v>
      </c>
      <c r="P41" s="66">
        <f t="shared" si="4"/>
        <v>1.2005360204670801</v>
      </c>
    </row>
    <row r="42" spans="1:20" s="60" customFormat="1" ht="26.25" customHeight="1">
      <c r="A42" s="285"/>
      <c r="B42" s="285"/>
      <c r="C42" s="287" t="s">
        <v>163</v>
      </c>
      <c r="D42" s="287"/>
      <c r="E42" s="287"/>
      <c r="F42" s="65">
        <v>30</v>
      </c>
      <c r="G42" s="59">
        <f>G43+G51+G57</f>
        <v>1380.577</v>
      </c>
      <c r="H42" s="59"/>
      <c r="I42" s="59">
        <f t="shared" ref="I42" si="23">I43+I51+I57</f>
        <v>1278</v>
      </c>
      <c r="J42" s="134">
        <f>J43+J51+J57</f>
        <v>1178.8879999999999</v>
      </c>
      <c r="K42" s="59">
        <f t="shared" ref="K42:N42" si="24">K43+K51+K57</f>
        <v>339.625</v>
      </c>
      <c r="L42" s="59">
        <f t="shared" si="24"/>
        <v>679.25</v>
      </c>
      <c r="M42" s="59">
        <f t="shared" si="24"/>
        <v>1018.875</v>
      </c>
      <c r="N42" s="138">
        <f t="shared" si="24"/>
        <v>1363.5</v>
      </c>
      <c r="O42" s="66">
        <f t="shared" si="3"/>
        <v>1.1565984215633716</v>
      </c>
      <c r="P42" s="66">
        <f t="shared" si="4"/>
        <v>0.85390963343587489</v>
      </c>
      <c r="T42" s="64"/>
    </row>
    <row r="43" spans="1:20" s="60" customFormat="1" ht="32.25" customHeight="1">
      <c r="A43" s="285"/>
      <c r="B43" s="285"/>
      <c r="C43" s="65" t="s">
        <v>164</v>
      </c>
      <c r="D43" s="284" t="s">
        <v>165</v>
      </c>
      <c r="E43" s="284"/>
      <c r="F43" s="65">
        <v>31</v>
      </c>
      <c r="G43" s="59">
        <f t="shared" ref="G43" si="25">G44+G45+G48+G49+G50</f>
        <v>433.96200000000005</v>
      </c>
      <c r="H43" s="59"/>
      <c r="I43" s="59">
        <f t="shared" ref="I43" si="26">I44+I45+I48+I49+I50</f>
        <v>426</v>
      </c>
      <c r="J43" s="134">
        <f>J44+J45+J48+J49+J50</f>
        <v>360.59199999999998</v>
      </c>
      <c r="K43" s="59">
        <f t="shared" ref="K43:N43" si="27">K44+K45+K48+K49+K50</f>
        <v>102.5</v>
      </c>
      <c r="L43" s="59">
        <f t="shared" si="27"/>
        <v>205</v>
      </c>
      <c r="M43" s="59">
        <f t="shared" si="27"/>
        <v>307.5</v>
      </c>
      <c r="N43" s="138">
        <f t="shared" si="27"/>
        <v>410</v>
      </c>
      <c r="O43" s="66">
        <f t="shared" si="3"/>
        <v>1.137019124107024</v>
      </c>
      <c r="P43" s="66">
        <f t="shared" si="4"/>
        <v>0.83092989708776333</v>
      </c>
    </row>
    <row r="44" spans="1:20" ht="22.5" customHeight="1">
      <c r="A44" s="285"/>
      <c r="B44" s="285"/>
      <c r="C44" s="67" t="s">
        <v>15</v>
      </c>
      <c r="D44" s="286" t="s">
        <v>166</v>
      </c>
      <c r="E44" s="286"/>
      <c r="F44" s="67">
        <v>32</v>
      </c>
      <c r="G44" s="167">
        <v>0</v>
      </c>
      <c r="H44" s="67"/>
      <c r="I44" s="170">
        <v>0</v>
      </c>
      <c r="J44" s="167">
        <v>0</v>
      </c>
      <c r="K44" s="61">
        <v>0</v>
      </c>
      <c r="L44" s="61">
        <v>0</v>
      </c>
      <c r="M44" s="61">
        <v>0</v>
      </c>
      <c r="N44" s="139">
        <v>0</v>
      </c>
      <c r="O44" s="68" t="str">
        <f t="shared" si="3"/>
        <v>0</v>
      </c>
      <c r="P44" s="69" t="str">
        <f t="shared" si="4"/>
        <v>0</v>
      </c>
    </row>
    <row r="45" spans="1:20" ht="19.5" customHeight="1">
      <c r="A45" s="285"/>
      <c r="B45" s="285"/>
      <c r="C45" s="67" t="s">
        <v>17</v>
      </c>
      <c r="D45" s="286" t="s">
        <v>167</v>
      </c>
      <c r="E45" s="286"/>
      <c r="F45" s="67">
        <v>33</v>
      </c>
      <c r="G45" s="167">
        <f>1.672+0.232+110.421+6.957+47.198+0.548+11.24+1.664+0.875+98.395+1.639</f>
        <v>280.84100000000001</v>
      </c>
      <c r="H45" s="67"/>
      <c r="I45" s="170">
        <v>300</v>
      </c>
      <c r="J45" s="167">
        <f>0.433+108.798+6.828+35.623+0.388+1.8+0.57+1.2+94.568+4.01</f>
        <v>254.21800000000002</v>
      </c>
      <c r="K45" s="61">
        <f t="shared" ref="K45:K52" si="28">N45/4</f>
        <v>75</v>
      </c>
      <c r="L45" s="61">
        <f>(N45/4)+K45</f>
        <v>150</v>
      </c>
      <c r="M45" s="61">
        <f>(N45/4)+L45</f>
        <v>225</v>
      </c>
      <c r="N45" s="139">
        <v>300</v>
      </c>
      <c r="O45" s="68">
        <f t="shared" ref="O45:O76" si="29">IF(N45=0,"0",N45/J45)</f>
        <v>1.1800895294589682</v>
      </c>
      <c r="P45" s="69">
        <f t="shared" ref="P45:P76" si="30">IF(G45=0,"0",J45/G45)</f>
        <v>0.90520258794121944</v>
      </c>
    </row>
    <row r="46" spans="1:20" ht="21" customHeight="1">
      <c r="A46" s="285"/>
      <c r="B46" s="285"/>
      <c r="C46" s="285"/>
      <c r="D46" s="67" t="s">
        <v>168</v>
      </c>
      <c r="E46" s="148" t="s">
        <v>169</v>
      </c>
      <c r="F46" s="67">
        <v>34</v>
      </c>
      <c r="G46" s="167">
        <f>47.198+0.548</f>
        <v>47.746000000000002</v>
      </c>
      <c r="H46" s="67"/>
      <c r="I46" s="170">
        <v>50</v>
      </c>
      <c r="J46" s="167">
        <f>35.622+0.388</f>
        <v>36.01</v>
      </c>
      <c r="K46" s="61">
        <f t="shared" si="28"/>
        <v>12.5</v>
      </c>
      <c r="L46" s="61">
        <f>(N46/4)+K46</f>
        <v>25</v>
      </c>
      <c r="M46" s="61">
        <f>(N46/4)+L46</f>
        <v>37.5</v>
      </c>
      <c r="N46" s="139">
        <v>50</v>
      </c>
      <c r="O46" s="68">
        <f t="shared" si="29"/>
        <v>1.3885031935573453</v>
      </c>
      <c r="P46" s="69">
        <f t="shared" si="30"/>
        <v>0.75419930465379292</v>
      </c>
    </row>
    <row r="47" spans="1:20" ht="18" customHeight="1">
      <c r="A47" s="285"/>
      <c r="B47" s="285"/>
      <c r="C47" s="285"/>
      <c r="D47" s="67" t="s">
        <v>170</v>
      </c>
      <c r="E47" s="148" t="s">
        <v>171</v>
      </c>
      <c r="F47" s="67">
        <v>35</v>
      </c>
      <c r="G47" s="167">
        <f>110.421+6.957</f>
        <v>117.378</v>
      </c>
      <c r="H47" s="67"/>
      <c r="I47" s="170">
        <v>150</v>
      </c>
      <c r="J47" s="167">
        <f>108.798+6.827</f>
        <v>115.625</v>
      </c>
      <c r="K47" s="61">
        <f t="shared" si="28"/>
        <v>37.5</v>
      </c>
      <c r="L47" s="61">
        <f>(N47/4)+K47</f>
        <v>75</v>
      </c>
      <c r="M47" s="61">
        <f>(N47/4)+L47</f>
        <v>112.5</v>
      </c>
      <c r="N47" s="139">
        <v>150</v>
      </c>
      <c r="O47" s="68">
        <f t="shared" si="29"/>
        <v>1.2972972972972974</v>
      </c>
      <c r="P47" s="69">
        <f t="shared" si="30"/>
        <v>0.98506534444274052</v>
      </c>
    </row>
    <row r="48" spans="1:20" ht="15.75" customHeight="1">
      <c r="A48" s="285"/>
      <c r="B48" s="285"/>
      <c r="C48" s="67" t="s">
        <v>65</v>
      </c>
      <c r="D48" s="286" t="s">
        <v>172</v>
      </c>
      <c r="E48" s="286"/>
      <c r="F48" s="67">
        <v>36</v>
      </c>
      <c r="G48" s="167">
        <f>133.83+0.4</f>
        <v>134.23000000000002</v>
      </c>
      <c r="H48" s="67"/>
      <c r="I48" s="170">
        <v>76</v>
      </c>
      <c r="J48" s="167">
        <f>87.046</f>
        <v>87.046000000000006</v>
      </c>
      <c r="K48" s="61">
        <f t="shared" si="28"/>
        <v>20</v>
      </c>
      <c r="L48" s="61">
        <f>(N48/4)+K48</f>
        <v>40</v>
      </c>
      <c r="M48" s="61">
        <f>(N48/4)+L48</f>
        <v>60</v>
      </c>
      <c r="N48" s="139">
        <v>80</v>
      </c>
      <c r="O48" s="68">
        <f t="shared" si="29"/>
        <v>0.91905429313236675</v>
      </c>
      <c r="P48" s="69">
        <f t="shared" si="30"/>
        <v>0.64848394546673616</v>
      </c>
    </row>
    <row r="49" spans="1:16" ht="23.25" customHeight="1">
      <c r="A49" s="285"/>
      <c r="B49" s="285"/>
      <c r="C49" s="67" t="s">
        <v>75</v>
      </c>
      <c r="D49" s="286" t="s">
        <v>173</v>
      </c>
      <c r="E49" s="286"/>
      <c r="F49" s="67">
        <v>37</v>
      </c>
      <c r="G49" s="167">
        <f>8.731+10.16</f>
        <v>18.890999999999998</v>
      </c>
      <c r="H49" s="67"/>
      <c r="I49" s="170">
        <v>50</v>
      </c>
      <c r="J49" s="167">
        <f>13.252+1.022+5.054</f>
        <v>19.328000000000003</v>
      </c>
      <c r="K49" s="61">
        <f t="shared" si="28"/>
        <v>7.5</v>
      </c>
      <c r="L49" s="61">
        <f>(N49/4)+K49</f>
        <v>15</v>
      </c>
      <c r="M49" s="61">
        <f>(N49/4)+L49</f>
        <v>22.5</v>
      </c>
      <c r="N49" s="139">
        <v>30</v>
      </c>
      <c r="O49" s="68">
        <f t="shared" si="29"/>
        <v>1.5521523178807946</v>
      </c>
      <c r="P49" s="69">
        <f t="shared" si="30"/>
        <v>1.0231327086972635</v>
      </c>
    </row>
    <row r="50" spans="1:16" ht="19.5" customHeight="1">
      <c r="A50" s="285"/>
      <c r="B50" s="285"/>
      <c r="C50" s="67" t="s">
        <v>77</v>
      </c>
      <c r="D50" s="286" t="s">
        <v>174</v>
      </c>
      <c r="E50" s="286"/>
      <c r="F50" s="67">
        <v>38</v>
      </c>
      <c r="G50" s="167"/>
      <c r="H50" s="67"/>
      <c r="I50" s="170">
        <v>0</v>
      </c>
      <c r="J50" s="167"/>
      <c r="K50" s="61">
        <v>0</v>
      </c>
      <c r="L50" s="61">
        <v>0</v>
      </c>
      <c r="M50" s="61">
        <v>0</v>
      </c>
      <c r="N50" s="139">
        <v>0</v>
      </c>
      <c r="O50" s="68" t="str">
        <f t="shared" si="29"/>
        <v>0</v>
      </c>
      <c r="P50" s="69" t="str">
        <f t="shared" si="30"/>
        <v>0</v>
      </c>
    </row>
    <row r="51" spans="1:16" s="62" customFormat="1" ht="31.5" customHeight="1">
      <c r="A51" s="285"/>
      <c r="B51" s="285"/>
      <c r="C51" s="65" t="s">
        <v>175</v>
      </c>
      <c r="D51" s="284" t="s">
        <v>176</v>
      </c>
      <c r="E51" s="284"/>
      <c r="F51" s="65">
        <v>39</v>
      </c>
      <c r="G51" s="59">
        <f>G52+G53+G56</f>
        <v>11.244</v>
      </c>
      <c r="H51" s="59"/>
      <c r="I51" s="59">
        <f t="shared" ref="I51:J51" si="31">I52+I53+I56</f>
        <v>21</v>
      </c>
      <c r="J51" s="134">
        <f t="shared" si="31"/>
        <v>19.766000000000002</v>
      </c>
      <c r="K51" s="59">
        <f t="shared" ref="K51:N51" si="32">K52+K53+K56</f>
        <v>5.75</v>
      </c>
      <c r="L51" s="59">
        <f t="shared" si="32"/>
        <v>11.5</v>
      </c>
      <c r="M51" s="59">
        <f t="shared" si="32"/>
        <v>17.25</v>
      </c>
      <c r="N51" s="138">
        <f t="shared" si="32"/>
        <v>23</v>
      </c>
      <c r="O51" s="66">
        <f t="shared" si="29"/>
        <v>1.1636142871597692</v>
      </c>
      <c r="P51" s="66">
        <f t="shared" si="30"/>
        <v>1.7579153326218429</v>
      </c>
    </row>
    <row r="52" spans="1:16" ht="21.75" customHeight="1">
      <c r="A52" s="285"/>
      <c r="B52" s="285"/>
      <c r="C52" s="67" t="s">
        <v>15</v>
      </c>
      <c r="D52" s="286" t="s">
        <v>177</v>
      </c>
      <c r="E52" s="286"/>
      <c r="F52" s="67">
        <v>40</v>
      </c>
      <c r="G52" s="167">
        <f>6.253+0.65</f>
        <v>6.9030000000000005</v>
      </c>
      <c r="H52" s="67"/>
      <c r="I52" s="170">
        <v>15</v>
      </c>
      <c r="J52" s="167">
        <f>14.4+0.46</f>
        <v>14.860000000000001</v>
      </c>
      <c r="K52" s="61">
        <f t="shared" si="28"/>
        <v>4.25</v>
      </c>
      <c r="L52" s="61">
        <f>(N52/4)+K52</f>
        <v>8.5</v>
      </c>
      <c r="M52" s="61">
        <f>(N52/4)+L52</f>
        <v>12.75</v>
      </c>
      <c r="N52" s="139">
        <v>17</v>
      </c>
      <c r="O52" s="68">
        <f t="shared" si="29"/>
        <v>1.1440107671601614</v>
      </c>
      <c r="P52" s="69">
        <f t="shared" si="30"/>
        <v>2.1526872374330002</v>
      </c>
    </row>
    <row r="53" spans="1:16" s="62" customFormat="1" ht="24" customHeight="1">
      <c r="A53" s="285"/>
      <c r="B53" s="285"/>
      <c r="C53" s="157" t="s">
        <v>17</v>
      </c>
      <c r="D53" s="290" t="s">
        <v>178</v>
      </c>
      <c r="E53" s="290"/>
      <c r="F53" s="157">
        <v>41</v>
      </c>
      <c r="G53" s="59">
        <f>G54+G55</f>
        <v>0</v>
      </c>
      <c r="H53" s="59"/>
      <c r="I53" s="59">
        <f t="shared" ref="I53" si="33">I54+I55</f>
        <v>0</v>
      </c>
      <c r="J53" s="134">
        <f>J54+J55</f>
        <v>0</v>
      </c>
      <c r="K53" s="59">
        <f t="shared" ref="K53:N53" si="34">K54+K55</f>
        <v>0</v>
      </c>
      <c r="L53" s="59">
        <f t="shared" si="34"/>
        <v>0</v>
      </c>
      <c r="M53" s="59">
        <f t="shared" si="34"/>
        <v>0</v>
      </c>
      <c r="N53" s="138">
        <f t="shared" si="34"/>
        <v>0</v>
      </c>
      <c r="O53" s="66" t="str">
        <f t="shared" si="29"/>
        <v>0</v>
      </c>
      <c r="P53" s="66" t="str">
        <f t="shared" si="30"/>
        <v>0</v>
      </c>
    </row>
    <row r="54" spans="1:16" ht="21.75" customHeight="1">
      <c r="A54" s="285"/>
      <c r="B54" s="285"/>
      <c r="C54" s="285"/>
      <c r="D54" s="67" t="s">
        <v>168</v>
      </c>
      <c r="E54" s="148" t="s">
        <v>179</v>
      </c>
      <c r="F54" s="67">
        <v>42</v>
      </c>
      <c r="G54" s="167">
        <v>0</v>
      </c>
      <c r="H54" s="67"/>
      <c r="I54" s="170">
        <v>0</v>
      </c>
      <c r="J54" s="167">
        <v>0</v>
      </c>
      <c r="K54" s="61"/>
      <c r="L54" s="61"/>
      <c r="M54" s="61"/>
      <c r="N54" s="139">
        <v>0</v>
      </c>
      <c r="O54" s="68" t="str">
        <f t="shared" si="29"/>
        <v>0</v>
      </c>
      <c r="P54" s="69" t="str">
        <f t="shared" si="30"/>
        <v>0</v>
      </c>
    </row>
    <row r="55" spans="1:16" ht="21" customHeight="1">
      <c r="A55" s="285"/>
      <c r="B55" s="285"/>
      <c r="C55" s="285"/>
      <c r="D55" s="67" t="s">
        <v>170</v>
      </c>
      <c r="E55" s="148" t="s">
        <v>180</v>
      </c>
      <c r="F55" s="67">
        <v>43</v>
      </c>
      <c r="G55" s="167">
        <v>0</v>
      </c>
      <c r="H55" s="67"/>
      <c r="I55" s="170">
        <v>0</v>
      </c>
      <c r="J55" s="167">
        <v>0</v>
      </c>
      <c r="K55" s="61"/>
      <c r="L55" s="61"/>
      <c r="M55" s="61"/>
      <c r="N55" s="139">
        <v>0</v>
      </c>
      <c r="O55" s="68" t="str">
        <f t="shared" si="29"/>
        <v>0</v>
      </c>
      <c r="P55" s="69" t="str">
        <f t="shared" si="30"/>
        <v>0</v>
      </c>
    </row>
    <row r="56" spans="1:16" ht="18.75" customHeight="1">
      <c r="A56" s="285"/>
      <c r="B56" s="285"/>
      <c r="C56" s="67" t="s">
        <v>65</v>
      </c>
      <c r="D56" s="286" t="s">
        <v>181</v>
      </c>
      <c r="E56" s="286"/>
      <c r="F56" s="67">
        <v>44</v>
      </c>
      <c r="G56" s="167">
        <f>3.621+0.72</f>
        <v>4.3410000000000002</v>
      </c>
      <c r="H56" s="67"/>
      <c r="I56" s="170">
        <v>6</v>
      </c>
      <c r="J56" s="167">
        <f>4.186+0.72</f>
        <v>4.9059999999999997</v>
      </c>
      <c r="K56" s="61">
        <f>N56/4</f>
        <v>1.5</v>
      </c>
      <c r="L56" s="61">
        <f>(N56/4)+K56</f>
        <v>3</v>
      </c>
      <c r="M56" s="61">
        <f>(N56/4)+L56</f>
        <v>4.5</v>
      </c>
      <c r="N56" s="139">
        <v>6</v>
      </c>
      <c r="O56" s="68">
        <f t="shared" si="29"/>
        <v>1.222992254382389</v>
      </c>
      <c r="P56" s="69">
        <f t="shared" si="30"/>
        <v>1.1301543423174383</v>
      </c>
    </row>
    <row r="57" spans="1:16" s="62" customFormat="1" ht="31.5" customHeight="1">
      <c r="A57" s="285"/>
      <c r="B57" s="285"/>
      <c r="C57" s="65" t="s">
        <v>182</v>
      </c>
      <c r="D57" s="284" t="s">
        <v>183</v>
      </c>
      <c r="E57" s="284"/>
      <c r="F57" s="65">
        <v>45</v>
      </c>
      <c r="G57" s="59">
        <f t="shared" ref="G57" si="35">G58+G59+G61+G68+G73+G74++G78+G79+G80+G89</f>
        <v>935.37099999999998</v>
      </c>
      <c r="H57" s="71"/>
      <c r="I57" s="59">
        <f t="shared" ref="I57:J57" si="36">I58+I59+I61+I68+I73+I74++I78+I79+I80+I89</f>
        <v>831</v>
      </c>
      <c r="J57" s="134">
        <f t="shared" si="36"/>
        <v>798.53</v>
      </c>
      <c r="K57" s="63">
        <f t="shared" ref="K57:N57" si="37">K58+K59+K61+K68+K73+K74++K78+K79+K80+K89</f>
        <v>231.375</v>
      </c>
      <c r="L57" s="63">
        <f t="shared" si="37"/>
        <v>462.75</v>
      </c>
      <c r="M57" s="63">
        <f t="shared" si="37"/>
        <v>694.125</v>
      </c>
      <c r="N57" s="138">
        <f t="shared" si="37"/>
        <v>930.5</v>
      </c>
      <c r="O57" s="66">
        <f t="shared" si="29"/>
        <v>1.1652661765995016</v>
      </c>
      <c r="P57" s="66">
        <f t="shared" si="30"/>
        <v>0.85370403829068897</v>
      </c>
    </row>
    <row r="58" spans="1:16" ht="22.5" customHeight="1">
      <c r="A58" s="285"/>
      <c r="B58" s="285"/>
      <c r="C58" s="67" t="s">
        <v>15</v>
      </c>
      <c r="D58" s="286" t="s">
        <v>184</v>
      </c>
      <c r="E58" s="286"/>
      <c r="F58" s="67">
        <v>46</v>
      </c>
      <c r="G58" s="167">
        <v>48.545999999999999</v>
      </c>
      <c r="H58" s="67"/>
      <c r="I58" s="170">
        <v>75</v>
      </c>
      <c r="J58" s="167">
        <v>63.787999999999997</v>
      </c>
      <c r="K58" s="61">
        <v>17.5</v>
      </c>
      <c r="L58" s="61">
        <v>35</v>
      </c>
      <c r="M58" s="61">
        <v>52.5</v>
      </c>
      <c r="N58" s="139">
        <v>75</v>
      </c>
      <c r="O58" s="68">
        <f t="shared" si="29"/>
        <v>1.1757697372546561</v>
      </c>
      <c r="P58" s="69">
        <f t="shared" si="30"/>
        <v>1.3139702550158612</v>
      </c>
    </row>
    <row r="59" spans="1:16" ht="25.5" customHeight="1">
      <c r="A59" s="285"/>
      <c r="B59" s="285"/>
      <c r="C59" s="67" t="s">
        <v>17</v>
      </c>
      <c r="D59" s="286" t="s">
        <v>185</v>
      </c>
      <c r="E59" s="286"/>
      <c r="F59" s="67">
        <v>47</v>
      </c>
      <c r="G59" s="167">
        <f t="shared" ref="G59" si="38">G60</f>
        <v>14</v>
      </c>
      <c r="H59" s="67"/>
      <c r="I59" s="170">
        <f t="shared" ref="I59:N59" si="39">I60</f>
        <v>16</v>
      </c>
      <c r="J59" s="167">
        <f>J60</f>
        <v>15</v>
      </c>
      <c r="K59" s="61">
        <f t="shared" si="39"/>
        <v>4</v>
      </c>
      <c r="L59" s="61">
        <f t="shared" si="39"/>
        <v>8</v>
      </c>
      <c r="M59" s="61">
        <f t="shared" si="39"/>
        <v>12</v>
      </c>
      <c r="N59" s="139">
        <f t="shared" si="39"/>
        <v>16</v>
      </c>
      <c r="O59" s="68">
        <f t="shared" si="29"/>
        <v>1.0666666666666667</v>
      </c>
      <c r="P59" s="69">
        <f t="shared" si="30"/>
        <v>1.0714285714285714</v>
      </c>
    </row>
    <row r="60" spans="1:16" ht="24" customHeight="1">
      <c r="A60" s="285"/>
      <c r="B60" s="285"/>
      <c r="C60" s="67"/>
      <c r="D60" s="148" t="s">
        <v>168</v>
      </c>
      <c r="E60" s="148" t="s">
        <v>186</v>
      </c>
      <c r="F60" s="67">
        <v>48</v>
      </c>
      <c r="G60" s="167">
        <v>14</v>
      </c>
      <c r="H60" s="67"/>
      <c r="I60" s="170">
        <v>16</v>
      </c>
      <c r="J60" s="167">
        <v>15</v>
      </c>
      <c r="K60" s="61">
        <f>N60/4</f>
        <v>4</v>
      </c>
      <c r="L60" s="61">
        <f>(N60/4)+K60</f>
        <v>8</v>
      </c>
      <c r="M60" s="61">
        <f>(N60/4)+L60</f>
        <v>12</v>
      </c>
      <c r="N60" s="139">
        <v>16</v>
      </c>
      <c r="O60" s="68">
        <f t="shared" si="29"/>
        <v>1.0666666666666667</v>
      </c>
      <c r="P60" s="69">
        <f t="shared" si="30"/>
        <v>1.0714285714285714</v>
      </c>
    </row>
    <row r="61" spans="1:16" s="62" customFormat="1" ht="26.25" customHeight="1">
      <c r="A61" s="285"/>
      <c r="B61" s="285"/>
      <c r="C61" s="155" t="s">
        <v>65</v>
      </c>
      <c r="D61" s="288" t="s">
        <v>187</v>
      </c>
      <c r="E61" s="288"/>
      <c r="F61" s="155">
        <v>49</v>
      </c>
      <c r="G61" s="59">
        <f t="shared" ref="G61" si="40">G62+G64</f>
        <v>0.71</v>
      </c>
      <c r="H61" s="71"/>
      <c r="I61" s="59">
        <f t="shared" ref="I61:J61" si="41">I62+I64</f>
        <v>1</v>
      </c>
      <c r="J61" s="134">
        <f t="shared" si="41"/>
        <v>0.46</v>
      </c>
      <c r="K61" s="63">
        <f t="shared" ref="K61:N61" si="42">K62+K64</f>
        <v>0.25</v>
      </c>
      <c r="L61" s="63">
        <f t="shared" si="42"/>
        <v>0.5</v>
      </c>
      <c r="M61" s="63">
        <f t="shared" si="42"/>
        <v>0.75</v>
      </c>
      <c r="N61" s="138">
        <f t="shared" si="42"/>
        <v>1</v>
      </c>
      <c r="O61" s="66">
        <f t="shared" si="29"/>
        <v>2.1739130434782608</v>
      </c>
      <c r="P61" s="66">
        <f t="shared" si="30"/>
        <v>0.647887323943662</v>
      </c>
    </row>
    <row r="62" spans="1:16" ht="18.75" customHeight="1">
      <c r="A62" s="285"/>
      <c r="B62" s="285"/>
      <c r="C62" s="289"/>
      <c r="D62" s="157" t="s">
        <v>134</v>
      </c>
      <c r="E62" s="158" t="s">
        <v>188</v>
      </c>
      <c r="F62" s="157">
        <v>50</v>
      </c>
      <c r="G62" s="167">
        <v>0.71</v>
      </c>
      <c r="H62" s="67"/>
      <c r="I62" s="170">
        <v>1</v>
      </c>
      <c r="J62" s="167">
        <v>0.46</v>
      </c>
      <c r="K62" s="61">
        <f>N62/4</f>
        <v>0.25</v>
      </c>
      <c r="L62" s="61">
        <f>(N62/4)+K62</f>
        <v>0.5</v>
      </c>
      <c r="M62" s="61">
        <f>(N62/4)+L62</f>
        <v>0.75</v>
      </c>
      <c r="N62" s="139">
        <v>1</v>
      </c>
      <c r="O62" s="68">
        <f t="shared" si="29"/>
        <v>2.1739130434782608</v>
      </c>
      <c r="P62" s="69">
        <f t="shared" si="30"/>
        <v>0.647887323943662</v>
      </c>
    </row>
    <row r="63" spans="1:16" ht="21.75" customHeight="1">
      <c r="A63" s="285"/>
      <c r="B63" s="285"/>
      <c r="C63" s="289"/>
      <c r="D63" s="157"/>
      <c r="E63" s="158" t="s">
        <v>189</v>
      </c>
      <c r="F63" s="157">
        <v>51</v>
      </c>
      <c r="G63" s="167">
        <v>0</v>
      </c>
      <c r="H63" s="67"/>
      <c r="I63" s="170">
        <v>0</v>
      </c>
      <c r="J63" s="167">
        <v>0</v>
      </c>
      <c r="K63" s="61">
        <v>0</v>
      </c>
      <c r="L63" s="61">
        <v>0</v>
      </c>
      <c r="M63" s="61">
        <v>0</v>
      </c>
      <c r="N63" s="139">
        <v>0</v>
      </c>
      <c r="O63" s="68" t="str">
        <f t="shared" si="29"/>
        <v>0</v>
      </c>
      <c r="P63" s="69" t="str">
        <f t="shared" si="30"/>
        <v>0</v>
      </c>
    </row>
    <row r="64" spans="1:16" ht="24" customHeight="1">
      <c r="A64" s="285"/>
      <c r="B64" s="285"/>
      <c r="C64" s="289"/>
      <c r="D64" s="157" t="s">
        <v>136</v>
      </c>
      <c r="E64" s="158" t="s">
        <v>190</v>
      </c>
      <c r="F64" s="157">
        <v>52</v>
      </c>
      <c r="G64" s="167">
        <v>0</v>
      </c>
      <c r="H64" s="67"/>
      <c r="I64" s="170">
        <v>0</v>
      </c>
      <c r="J64" s="167">
        <v>0</v>
      </c>
      <c r="K64" s="61">
        <v>0</v>
      </c>
      <c r="L64" s="61">
        <v>0</v>
      </c>
      <c r="M64" s="61">
        <v>0</v>
      </c>
      <c r="N64" s="139">
        <v>0</v>
      </c>
      <c r="O64" s="68" t="str">
        <f t="shared" si="29"/>
        <v>0</v>
      </c>
      <c r="P64" s="69" t="str">
        <f t="shared" si="30"/>
        <v>0</v>
      </c>
    </row>
    <row r="65" spans="1:16" ht="33.75" customHeight="1">
      <c r="A65" s="285"/>
      <c r="B65" s="285"/>
      <c r="C65" s="289"/>
      <c r="D65" s="290"/>
      <c r="E65" s="158" t="s">
        <v>191</v>
      </c>
      <c r="F65" s="157">
        <v>53</v>
      </c>
      <c r="G65" s="167">
        <v>0</v>
      </c>
      <c r="H65" s="67"/>
      <c r="I65" s="170">
        <v>0</v>
      </c>
      <c r="J65" s="167">
        <v>0</v>
      </c>
      <c r="K65" s="61">
        <v>0</v>
      </c>
      <c r="L65" s="61">
        <v>0</v>
      </c>
      <c r="M65" s="61">
        <v>0</v>
      </c>
      <c r="N65" s="139">
        <v>0</v>
      </c>
      <c r="O65" s="68" t="str">
        <f t="shared" si="29"/>
        <v>0</v>
      </c>
      <c r="P65" s="69" t="str">
        <f t="shared" si="30"/>
        <v>0</v>
      </c>
    </row>
    <row r="66" spans="1:16" ht="33" customHeight="1">
      <c r="A66" s="285"/>
      <c r="B66" s="285"/>
      <c r="C66" s="289"/>
      <c r="D66" s="290"/>
      <c r="E66" s="158" t="s">
        <v>192</v>
      </c>
      <c r="F66" s="157">
        <v>54</v>
      </c>
      <c r="G66" s="167">
        <v>0</v>
      </c>
      <c r="H66" s="67"/>
      <c r="I66" s="170">
        <v>0</v>
      </c>
      <c r="J66" s="167">
        <v>0</v>
      </c>
      <c r="K66" s="61">
        <v>0</v>
      </c>
      <c r="L66" s="61">
        <v>0</v>
      </c>
      <c r="M66" s="61">
        <v>0</v>
      </c>
      <c r="N66" s="139">
        <v>0</v>
      </c>
      <c r="O66" s="68" t="str">
        <f t="shared" si="29"/>
        <v>0</v>
      </c>
      <c r="P66" s="69" t="str">
        <f t="shared" si="30"/>
        <v>0</v>
      </c>
    </row>
    <row r="67" spans="1:16" ht="21.75" customHeight="1">
      <c r="A67" s="285"/>
      <c r="B67" s="285"/>
      <c r="C67" s="289"/>
      <c r="D67" s="290"/>
      <c r="E67" s="158" t="s">
        <v>193</v>
      </c>
      <c r="F67" s="157">
        <v>55</v>
      </c>
      <c r="G67" s="167">
        <v>0</v>
      </c>
      <c r="H67" s="67"/>
      <c r="I67" s="170">
        <v>0</v>
      </c>
      <c r="J67" s="167">
        <v>0</v>
      </c>
      <c r="K67" s="61">
        <v>0</v>
      </c>
      <c r="L67" s="61">
        <v>0</v>
      </c>
      <c r="M67" s="61">
        <v>0</v>
      </c>
      <c r="N67" s="139">
        <v>0</v>
      </c>
      <c r="O67" s="68" t="str">
        <f t="shared" si="29"/>
        <v>0</v>
      </c>
      <c r="P67" s="69" t="str">
        <f t="shared" si="30"/>
        <v>0</v>
      </c>
    </row>
    <row r="68" spans="1:16" s="62" customFormat="1" ht="30" customHeight="1">
      <c r="A68" s="285"/>
      <c r="B68" s="285"/>
      <c r="C68" s="65" t="s">
        <v>75</v>
      </c>
      <c r="D68" s="284" t="s">
        <v>194</v>
      </c>
      <c r="E68" s="284"/>
      <c r="F68" s="65">
        <v>56</v>
      </c>
      <c r="G68" s="63">
        <f t="shared" ref="G68" si="43">G69+G70+G71+G72</f>
        <v>0</v>
      </c>
      <c r="H68" s="71"/>
      <c r="I68" s="59">
        <f t="shared" ref="I68" si="44">I69+I70+I71+I72</f>
        <v>0</v>
      </c>
      <c r="J68" s="166">
        <f>J69+J70+J71+J72</f>
        <v>0</v>
      </c>
      <c r="K68" s="59">
        <f t="shared" ref="K68:N68" si="45">K69+K70+K71+K72</f>
        <v>0</v>
      </c>
      <c r="L68" s="59">
        <f t="shared" si="45"/>
        <v>0</v>
      </c>
      <c r="M68" s="59">
        <f t="shared" si="45"/>
        <v>0</v>
      </c>
      <c r="N68" s="138">
        <f t="shared" si="45"/>
        <v>0</v>
      </c>
      <c r="O68" s="66" t="str">
        <f t="shared" si="29"/>
        <v>0</v>
      </c>
      <c r="P68" s="66" t="str">
        <f t="shared" si="30"/>
        <v>0</v>
      </c>
    </row>
    <row r="69" spans="1:16" ht="19.5" customHeight="1">
      <c r="A69" s="285"/>
      <c r="B69" s="285"/>
      <c r="C69" s="289"/>
      <c r="D69" s="157" t="s">
        <v>195</v>
      </c>
      <c r="E69" s="158" t="s">
        <v>196</v>
      </c>
      <c r="F69" s="157">
        <v>57</v>
      </c>
      <c r="G69" s="167"/>
      <c r="H69" s="67"/>
      <c r="I69" s="170">
        <v>0</v>
      </c>
      <c r="J69" s="167"/>
      <c r="K69" s="61">
        <v>0</v>
      </c>
      <c r="L69" s="61">
        <v>0</v>
      </c>
      <c r="M69" s="61">
        <v>0</v>
      </c>
      <c r="N69" s="139">
        <v>0</v>
      </c>
      <c r="O69" s="68" t="str">
        <f t="shared" si="29"/>
        <v>0</v>
      </c>
      <c r="P69" s="69" t="str">
        <f t="shared" si="30"/>
        <v>0</v>
      </c>
    </row>
    <row r="70" spans="1:16" ht="21" customHeight="1">
      <c r="A70" s="285"/>
      <c r="B70" s="285"/>
      <c r="C70" s="289"/>
      <c r="D70" s="157" t="s">
        <v>197</v>
      </c>
      <c r="E70" s="158" t="s">
        <v>198</v>
      </c>
      <c r="F70" s="157">
        <v>58</v>
      </c>
      <c r="G70" s="167"/>
      <c r="H70" s="67"/>
      <c r="I70" s="170">
        <v>0</v>
      </c>
      <c r="J70" s="167"/>
      <c r="K70" s="61">
        <v>0</v>
      </c>
      <c r="L70" s="61">
        <v>0</v>
      </c>
      <c r="M70" s="61">
        <v>0</v>
      </c>
      <c r="N70" s="139">
        <v>0</v>
      </c>
      <c r="O70" s="68" t="str">
        <f t="shared" si="29"/>
        <v>0</v>
      </c>
      <c r="P70" s="69" t="str">
        <f t="shared" si="30"/>
        <v>0</v>
      </c>
    </row>
    <row r="71" spans="1:16">
      <c r="A71" s="285"/>
      <c r="B71" s="285"/>
      <c r="C71" s="289"/>
      <c r="D71" s="157"/>
      <c r="E71" s="158" t="s">
        <v>199</v>
      </c>
      <c r="F71" s="157">
        <v>59</v>
      </c>
      <c r="G71" s="167"/>
      <c r="H71" s="67"/>
      <c r="I71" s="170">
        <v>0</v>
      </c>
      <c r="J71" s="167"/>
      <c r="K71" s="61">
        <v>0</v>
      </c>
      <c r="L71" s="61">
        <v>0</v>
      </c>
      <c r="M71" s="61">
        <v>0</v>
      </c>
      <c r="N71" s="139">
        <v>0</v>
      </c>
      <c r="O71" s="68" t="str">
        <f t="shared" si="29"/>
        <v>0</v>
      </c>
      <c r="P71" s="69" t="str">
        <f t="shared" si="30"/>
        <v>0</v>
      </c>
    </row>
    <row r="72" spans="1:16" ht="18.75" customHeight="1">
      <c r="A72" s="285"/>
      <c r="B72" s="285"/>
      <c r="C72" s="289"/>
      <c r="D72" s="157" t="s">
        <v>200</v>
      </c>
      <c r="E72" s="158" t="s">
        <v>201</v>
      </c>
      <c r="F72" s="157">
        <v>60</v>
      </c>
      <c r="G72" s="167"/>
      <c r="H72" s="67"/>
      <c r="I72" s="170">
        <v>0</v>
      </c>
      <c r="J72" s="167"/>
      <c r="K72" s="61">
        <v>0</v>
      </c>
      <c r="L72" s="61">
        <v>0</v>
      </c>
      <c r="M72" s="61">
        <v>0</v>
      </c>
      <c r="N72" s="139">
        <v>0</v>
      </c>
      <c r="O72" s="68" t="str">
        <f t="shared" si="29"/>
        <v>0</v>
      </c>
      <c r="P72" s="69" t="str">
        <f t="shared" si="30"/>
        <v>0</v>
      </c>
    </row>
    <row r="73" spans="1:16" ht="17.25" customHeight="1">
      <c r="A73" s="285"/>
      <c r="B73" s="285"/>
      <c r="C73" s="71" t="s">
        <v>77</v>
      </c>
      <c r="D73" s="291" t="s">
        <v>202</v>
      </c>
      <c r="E73" s="291"/>
      <c r="F73" s="71">
        <v>61</v>
      </c>
      <c r="G73" s="134">
        <v>0</v>
      </c>
      <c r="H73" s="71"/>
      <c r="I73" s="59">
        <v>0</v>
      </c>
      <c r="J73" s="134">
        <v>0</v>
      </c>
      <c r="K73" s="63"/>
      <c r="L73" s="63"/>
      <c r="M73" s="63"/>
      <c r="N73" s="138">
        <v>0</v>
      </c>
      <c r="O73" s="66" t="str">
        <f t="shared" si="29"/>
        <v>0</v>
      </c>
      <c r="P73" s="66" t="str">
        <f t="shared" si="30"/>
        <v>0</v>
      </c>
    </row>
    <row r="74" spans="1:16" ht="18" customHeight="1">
      <c r="A74" s="285"/>
      <c r="B74" s="285"/>
      <c r="C74" s="71" t="s">
        <v>140</v>
      </c>
      <c r="D74" s="291" t="s">
        <v>203</v>
      </c>
      <c r="E74" s="291"/>
      <c r="F74" s="71">
        <v>62</v>
      </c>
      <c r="G74" s="134">
        <f t="shared" ref="G74" si="46">G75</f>
        <v>0.1</v>
      </c>
      <c r="H74" s="71"/>
      <c r="I74" s="59">
        <f t="shared" ref="I74:N74" si="47">I75</f>
        <v>1</v>
      </c>
      <c r="J74" s="134">
        <f>J75</f>
        <v>0.2</v>
      </c>
      <c r="K74" s="63">
        <f t="shared" si="47"/>
        <v>0.25</v>
      </c>
      <c r="L74" s="63">
        <f t="shared" si="47"/>
        <v>0.5</v>
      </c>
      <c r="M74" s="63">
        <f t="shared" si="47"/>
        <v>0.75</v>
      </c>
      <c r="N74" s="138">
        <f t="shared" si="47"/>
        <v>1</v>
      </c>
      <c r="O74" s="66">
        <f t="shared" si="29"/>
        <v>5</v>
      </c>
      <c r="P74" s="66">
        <f t="shared" si="30"/>
        <v>2</v>
      </c>
    </row>
    <row r="75" spans="1:16" s="6" customFormat="1" ht="15.75" customHeight="1">
      <c r="A75" s="285"/>
      <c r="B75" s="285"/>
      <c r="C75" s="285"/>
      <c r="D75" s="288" t="s">
        <v>204</v>
      </c>
      <c r="E75" s="288"/>
      <c r="F75" s="155">
        <v>63</v>
      </c>
      <c r="G75" s="168">
        <f t="shared" ref="G75" si="48">G76+G77</f>
        <v>0.1</v>
      </c>
      <c r="H75" s="155"/>
      <c r="I75" s="170">
        <f t="shared" ref="I75" si="49">I76+I77</f>
        <v>1</v>
      </c>
      <c r="J75" s="168">
        <f>J76+J77</f>
        <v>0.2</v>
      </c>
      <c r="K75" s="159">
        <f t="shared" ref="K75:N75" si="50">K76+K77</f>
        <v>0.25</v>
      </c>
      <c r="L75" s="159">
        <f t="shared" si="50"/>
        <v>0.5</v>
      </c>
      <c r="M75" s="159">
        <f t="shared" si="50"/>
        <v>0.75</v>
      </c>
      <c r="N75" s="139">
        <f t="shared" si="50"/>
        <v>1</v>
      </c>
      <c r="O75" s="68">
        <f t="shared" si="29"/>
        <v>5</v>
      </c>
      <c r="P75" s="69">
        <f t="shared" si="30"/>
        <v>2</v>
      </c>
    </row>
    <row r="76" spans="1:16" ht="17.25" customHeight="1">
      <c r="A76" s="285"/>
      <c r="B76" s="285"/>
      <c r="C76" s="285"/>
      <c r="D76" s="286" t="s">
        <v>205</v>
      </c>
      <c r="E76" s="286"/>
      <c r="F76" s="67">
        <v>64</v>
      </c>
      <c r="G76" s="168">
        <v>0.1</v>
      </c>
      <c r="H76" s="67"/>
      <c r="I76" s="170">
        <v>1</v>
      </c>
      <c r="J76" s="168">
        <v>0.2</v>
      </c>
      <c r="K76" s="61">
        <f t="shared" ref="K76:K84" si="51">N76/4</f>
        <v>0.25</v>
      </c>
      <c r="L76" s="61">
        <f>(N76/4)+K76</f>
        <v>0.5</v>
      </c>
      <c r="M76" s="61">
        <f>(N76/4)+L76</f>
        <v>0.75</v>
      </c>
      <c r="N76" s="139">
        <v>1</v>
      </c>
      <c r="O76" s="68">
        <f t="shared" si="29"/>
        <v>5</v>
      </c>
      <c r="P76" s="69">
        <f t="shared" si="30"/>
        <v>2</v>
      </c>
    </row>
    <row r="77" spans="1:16" ht="15.75" customHeight="1">
      <c r="A77" s="285"/>
      <c r="B77" s="285"/>
      <c r="C77" s="285"/>
      <c r="D77" s="286" t="s">
        <v>206</v>
      </c>
      <c r="E77" s="286"/>
      <c r="F77" s="67">
        <v>65</v>
      </c>
      <c r="G77" s="167">
        <v>0</v>
      </c>
      <c r="H77" s="67"/>
      <c r="I77" s="170">
        <v>0</v>
      </c>
      <c r="J77" s="167">
        <v>0</v>
      </c>
      <c r="K77" s="61">
        <v>0</v>
      </c>
      <c r="L77" s="61">
        <v>0</v>
      </c>
      <c r="M77" s="61">
        <v>0</v>
      </c>
      <c r="N77" s="139">
        <v>0</v>
      </c>
      <c r="O77" s="68" t="str">
        <f t="shared" ref="O77:O108" si="52">IF(N77=0,"0",N77/J77)</f>
        <v>0</v>
      </c>
      <c r="P77" s="69" t="str">
        <f t="shared" ref="P77:P108" si="53">IF(G77=0,"0",J77/G77)</f>
        <v>0</v>
      </c>
    </row>
    <row r="78" spans="1:16" ht="25.5" customHeight="1">
      <c r="A78" s="285"/>
      <c r="B78" s="285"/>
      <c r="C78" s="71" t="s">
        <v>207</v>
      </c>
      <c r="D78" s="291" t="s">
        <v>208</v>
      </c>
      <c r="E78" s="291"/>
      <c r="F78" s="71">
        <v>66</v>
      </c>
      <c r="G78" s="59">
        <f>11.318+0.231</f>
        <v>11.548999999999999</v>
      </c>
      <c r="H78" s="71"/>
      <c r="I78" s="59">
        <v>15</v>
      </c>
      <c r="J78" s="134">
        <f>12.49+0.123</f>
        <v>12.613</v>
      </c>
      <c r="K78" s="63">
        <f t="shared" si="51"/>
        <v>3.75</v>
      </c>
      <c r="L78" s="63">
        <f>(N78/4)+K78</f>
        <v>7.5</v>
      </c>
      <c r="M78" s="63">
        <f>(N78/4)+L78</f>
        <v>11.25</v>
      </c>
      <c r="N78" s="138">
        <v>15</v>
      </c>
      <c r="O78" s="66">
        <f t="shared" si="52"/>
        <v>1.1892491873463886</v>
      </c>
      <c r="P78" s="66">
        <f t="shared" si="53"/>
        <v>1.0921291886743441</v>
      </c>
    </row>
    <row r="79" spans="1:16" ht="27" customHeight="1">
      <c r="A79" s="285"/>
      <c r="B79" s="285"/>
      <c r="C79" s="71" t="s">
        <v>209</v>
      </c>
      <c r="D79" s="291" t="s">
        <v>210</v>
      </c>
      <c r="E79" s="291"/>
      <c r="F79" s="71">
        <v>67</v>
      </c>
      <c r="G79" s="59">
        <f>4.97+0.052</f>
        <v>5.0219999999999994</v>
      </c>
      <c r="H79" s="71"/>
      <c r="I79" s="59">
        <v>6</v>
      </c>
      <c r="J79" s="134">
        <f>1.589+0.04</f>
        <v>1.629</v>
      </c>
      <c r="K79" s="63">
        <f t="shared" si="51"/>
        <v>1</v>
      </c>
      <c r="L79" s="63">
        <f>(N79/4)+K79</f>
        <v>2</v>
      </c>
      <c r="M79" s="63">
        <f>(N79/4)+L79</f>
        <v>3</v>
      </c>
      <c r="N79" s="138">
        <v>4</v>
      </c>
      <c r="O79" s="66">
        <f t="shared" si="52"/>
        <v>2.4554941682013505</v>
      </c>
      <c r="P79" s="66">
        <f t="shared" si="53"/>
        <v>0.32437275985663089</v>
      </c>
    </row>
    <row r="80" spans="1:16" ht="24" customHeight="1">
      <c r="A80" s="285"/>
      <c r="B80" s="285"/>
      <c r="C80" s="71" t="s">
        <v>211</v>
      </c>
      <c r="D80" s="291" t="s">
        <v>212</v>
      </c>
      <c r="E80" s="291"/>
      <c r="F80" s="71">
        <v>68</v>
      </c>
      <c r="G80" s="59">
        <f>G81+G82+G83+G84+G86+G87+G88</f>
        <v>12.139000000000001</v>
      </c>
      <c r="H80" s="59"/>
      <c r="I80" s="59">
        <f t="shared" ref="I80:J80" si="54">I81+I82+I83+I84+I86+I87+I88</f>
        <v>17</v>
      </c>
      <c r="J80" s="134">
        <f t="shared" si="54"/>
        <v>16.645000000000003</v>
      </c>
      <c r="K80" s="59">
        <f t="shared" ref="K80:N80" si="55">K81+K82+K83+K84+K86+K87+K88</f>
        <v>5</v>
      </c>
      <c r="L80" s="59">
        <f t="shared" si="55"/>
        <v>10</v>
      </c>
      <c r="M80" s="59">
        <f t="shared" si="55"/>
        <v>15</v>
      </c>
      <c r="N80" s="138">
        <f t="shared" si="55"/>
        <v>20</v>
      </c>
      <c r="O80" s="66">
        <f t="shared" si="52"/>
        <v>1.2015620306398316</v>
      </c>
      <c r="P80" s="66">
        <f t="shared" si="53"/>
        <v>1.3712002636131477</v>
      </c>
    </row>
    <row r="81" spans="1:16" ht="18" customHeight="1">
      <c r="A81" s="285"/>
      <c r="B81" s="285"/>
      <c r="C81" s="285"/>
      <c r="D81" s="67" t="s">
        <v>213</v>
      </c>
      <c r="E81" s="148" t="s">
        <v>214</v>
      </c>
      <c r="F81" s="67">
        <v>69</v>
      </c>
      <c r="G81" s="167">
        <v>4.4560000000000004</v>
      </c>
      <c r="H81" s="67"/>
      <c r="I81" s="170">
        <v>5</v>
      </c>
      <c r="J81" s="167">
        <v>6.6790000000000003</v>
      </c>
      <c r="K81" s="61">
        <f t="shared" si="51"/>
        <v>1.75</v>
      </c>
      <c r="L81" s="61">
        <f>(N81/4)+K81</f>
        <v>3.5</v>
      </c>
      <c r="M81" s="61">
        <f>(N81/4)+L81</f>
        <v>5.25</v>
      </c>
      <c r="N81" s="139">
        <v>7</v>
      </c>
      <c r="O81" s="68">
        <f t="shared" si="52"/>
        <v>1.0480610869890701</v>
      </c>
      <c r="P81" s="69">
        <f t="shared" si="53"/>
        <v>1.4988779174147215</v>
      </c>
    </row>
    <row r="82" spans="1:16" ht="22.5" customHeight="1">
      <c r="A82" s="285"/>
      <c r="B82" s="285"/>
      <c r="C82" s="285"/>
      <c r="D82" s="67" t="s">
        <v>215</v>
      </c>
      <c r="E82" s="148" t="s">
        <v>216</v>
      </c>
      <c r="F82" s="67">
        <v>70</v>
      </c>
      <c r="G82" s="167">
        <v>4.6150000000000002</v>
      </c>
      <c r="H82" s="67"/>
      <c r="I82" s="170">
        <v>8</v>
      </c>
      <c r="J82" s="167">
        <v>8.9090000000000007</v>
      </c>
      <c r="K82" s="61">
        <f t="shared" si="51"/>
        <v>2.5</v>
      </c>
      <c r="L82" s="61">
        <f>(N82/4)+K82</f>
        <v>5</v>
      </c>
      <c r="M82" s="61">
        <f>(N82/4)+L82</f>
        <v>7.5</v>
      </c>
      <c r="N82" s="139">
        <v>10</v>
      </c>
      <c r="O82" s="68">
        <f t="shared" si="52"/>
        <v>1.1224604332697272</v>
      </c>
      <c r="P82" s="69">
        <f t="shared" si="53"/>
        <v>1.9304442036836404</v>
      </c>
    </row>
    <row r="83" spans="1:16" ht="24" customHeight="1">
      <c r="A83" s="285"/>
      <c r="B83" s="285"/>
      <c r="C83" s="285"/>
      <c r="D83" s="67" t="s">
        <v>217</v>
      </c>
      <c r="E83" s="148" t="s">
        <v>218</v>
      </c>
      <c r="F83" s="67">
        <v>71</v>
      </c>
      <c r="G83" s="167">
        <v>2.9</v>
      </c>
      <c r="H83" s="67"/>
      <c r="I83" s="170">
        <v>3</v>
      </c>
      <c r="J83" s="167">
        <v>0.84699999999999998</v>
      </c>
      <c r="K83" s="61">
        <f t="shared" si="51"/>
        <v>0.5</v>
      </c>
      <c r="L83" s="61">
        <f>(N83/4)+K83</f>
        <v>1</v>
      </c>
      <c r="M83" s="61">
        <f>(N83/4)+L83</f>
        <v>1.5</v>
      </c>
      <c r="N83" s="139">
        <v>2</v>
      </c>
      <c r="O83" s="68">
        <f t="shared" si="52"/>
        <v>2.3612750885478158</v>
      </c>
      <c r="P83" s="69">
        <f t="shared" si="53"/>
        <v>0.29206896551724137</v>
      </c>
    </row>
    <row r="84" spans="1:16" ht="24.75" customHeight="1">
      <c r="A84" s="285"/>
      <c r="B84" s="285"/>
      <c r="C84" s="285"/>
      <c r="D84" s="67" t="s">
        <v>219</v>
      </c>
      <c r="E84" s="148" t="s">
        <v>220</v>
      </c>
      <c r="F84" s="67">
        <v>72</v>
      </c>
      <c r="G84" s="167">
        <v>0</v>
      </c>
      <c r="H84" s="67"/>
      <c r="I84" s="170">
        <v>0</v>
      </c>
      <c r="J84" s="167">
        <v>0</v>
      </c>
      <c r="K84" s="61">
        <f t="shared" si="51"/>
        <v>0</v>
      </c>
      <c r="L84" s="61">
        <f>(N84/4)+K84</f>
        <v>0</v>
      </c>
      <c r="M84" s="61">
        <f>(N84/4)+L84</f>
        <v>0</v>
      </c>
      <c r="N84" s="139">
        <v>0</v>
      </c>
      <c r="O84" s="68" t="str">
        <f t="shared" si="52"/>
        <v>0</v>
      </c>
      <c r="P84" s="69" t="str">
        <f t="shared" si="53"/>
        <v>0</v>
      </c>
    </row>
    <row r="85" spans="1:16" ht="24" customHeight="1">
      <c r="A85" s="285"/>
      <c r="B85" s="285"/>
      <c r="C85" s="285"/>
      <c r="D85" s="67"/>
      <c r="E85" s="148" t="s">
        <v>221</v>
      </c>
      <c r="F85" s="67">
        <v>73</v>
      </c>
      <c r="G85" s="167">
        <v>0</v>
      </c>
      <c r="H85" s="67"/>
      <c r="I85" s="170">
        <v>0</v>
      </c>
      <c r="J85" s="167">
        <v>0</v>
      </c>
      <c r="K85" s="61">
        <v>0</v>
      </c>
      <c r="L85" s="61">
        <v>0</v>
      </c>
      <c r="M85" s="61">
        <v>0</v>
      </c>
      <c r="N85" s="139">
        <v>0</v>
      </c>
      <c r="O85" s="68" t="str">
        <f t="shared" si="52"/>
        <v>0</v>
      </c>
      <c r="P85" s="69" t="str">
        <f t="shared" si="53"/>
        <v>0</v>
      </c>
    </row>
    <row r="86" spans="1:16" ht="22.5" customHeight="1">
      <c r="A86" s="285"/>
      <c r="B86" s="285"/>
      <c r="C86" s="285"/>
      <c r="D86" s="67" t="s">
        <v>222</v>
      </c>
      <c r="E86" s="148" t="s">
        <v>223</v>
      </c>
      <c r="F86" s="67">
        <v>74</v>
      </c>
      <c r="G86" s="167">
        <v>0</v>
      </c>
      <c r="H86" s="67"/>
      <c r="I86" s="170">
        <v>0</v>
      </c>
      <c r="J86" s="167">
        <v>0</v>
      </c>
      <c r="K86" s="61">
        <v>0</v>
      </c>
      <c r="L86" s="61">
        <v>0</v>
      </c>
      <c r="M86" s="61">
        <v>0</v>
      </c>
      <c r="N86" s="139">
        <v>0</v>
      </c>
      <c r="O86" s="68" t="str">
        <f t="shared" si="52"/>
        <v>0</v>
      </c>
      <c r="P86" s="69" t="str">
        <f t="shared" si="53"/>
        <v>0</v>
      </c>
    </row>
    <row r="87" spans="1:16" ht="30">
      <c r="A87" s="285"/>
      <c r="B87" s="285"/>
      <c r="C87" s="285"/>
      <c r="D87" s="67" t="s">
        <v>224</v>
      </c>
      <c r="E87" s="148" t="s">
        <v>225</v>
      </c>
      <c r="F87" s="67">
        <v>75</v>
      </c>
      <c r="G87" s="167">
        <v>0</v>
      </c>
      <c r="H87" s="67"/>
      <c r="I87" s="170">
        <v>0</v>
      </c>
      <c r="J87" s="167">
        <v>0</v>
      </c>
      <c r="K87" s="61">
        <v>0</v>
      </c>
      <c r="L87" s="61">
        <v>0</v>
      </c>
      <c r="M87" s="61">
        <v>0</v>
      </c>
      <c r="N87" s="139">
        <v>0</v>
      </c>
      <c r="O87" s="68" t="str">
        <f t="shared" si="52"/>
        <v>0</v>
      </c>
      <c r="P87" s="69" t="str">
        <f t="shared" si="53"/>
        <v>0</v>
      </c>
    </row>
    <row r="88" spans="1:16" ht="25.5" customHeight="1">
      <c r="A88" s="285"/>
      <c r="B88" s="285"/>
      <c r="C88" s="285"/>
      <c r="D88" s="67" t="s">
        <v>226</v>
      </c>
      <c r="E88" s="148" t="s">
        <v>227</v>
      </c>
      <c r="F88" s="67">
        <v>76</v>
      </c>
      <c r="G88" s="167">
        <v>0.16800000000000001</v>
      </c>
      <c r="H88" s="67"/>
      <c r="I88" s="170">
        <v>1</v>
      </c>
      <c r="J88" s="167">
        <v>0.21</v>
      </c>
      <c r="K88" s="61">
        <f>N88/4</f>
        <v>0.25</v>
      </c>
      <c r="L88" s="61">
        <f>(N88/4)+K88</f>
        <v>0.5</v>
      </c>
      <c r="M88" s="61">
        <f>(N88/4)+L88</f>
        <v>0.75</v>
      </c>
      <c r="N88" s="139">
        <v>1</v>
      </c>
      <c r="O88" s="68">
        <f t="shared" si="52"/>
        <v>4.7619047619047619</v>
      </c>
      <c r="P88" s="69">
        <f t="shared" si="53"/>
        <v>1.2499999999999998</v>
      </c>
    </row>
    <row r="89" spans="1:16" ht="23.25" customHeight="1">
      <c r="A89" s="285"/>
      <c r="B89" s="285"/>
      <c r="C89" s="67" t="s">
        <v>228</v>
      </c>
      <c r="D89" s="286" t="s">
        <v>78</v>
      </c>
      <c r="E89" s="286"/>
      <c r="F89" s="67">
        <v>77</v>
      </c>
      <c r="G89" s="167">
        <f>-2.9+108.876+120.467+5.387+589.404+14.57+7.501</f>
        <v>843.30499999999995</v>
      </c>
      <c r="H89" s="67"/>
      <c r="I89" s="170">
        <v>700</v>
      </c>
      <c r="J89" s="167">
        <f>80.236+218.397+4.318+345.381+14.765+8+0.008+17.09</f>
        <v>688.19499999999994</v>
      </c>
      <c r="K89" s="61">
        <f>N89/4</f>
        <v>199.625</v>
      </c>
      <c r="L89" s="61">
        <f>(N89/4)+K89</f>
        <v>399.25</v>
      </c>
      <c r="M89" s="61">
        <f>(N89/4)+L89</f>
        <v>598.875</v>
      </c>
      <c r="N89" s="139">
        <v>798.5</v>
      </c>
      <c r="O89" s="68">
        <f t="shared" si="52"/>
        <v>1.1602816062307924</v>
      </c>
      <c r="P89" s="69">
        <f t="shared" si="53"/>
        <v>0.81606891931151837</v>
      </c>
    </row>
    <row r="90" spans="1:16" s="60" customFormat="1" ht="36.75" customHeight="1">
      <c r="A90" s="285"/>
      <c r="B90" s="285"/>
      <c r="C90" s="287" t="s">
        <v>229</v>
      </c>
      <c r="D90" s="287"/>
      <c r="E90" s="287"/>
      <c r="F90" s="65">
        <v>78</v>
      </c>
      <c r="G90" s="59">
        <f t="shared" ref="G90" si="56">G91+G92+G93+G94+G95+G96</f>
        <v>101.80499999999999</v>
      </c>
      <c r="H90" s="65"/>
      <c r="I90" s="59">
        <f t="shared" ref="I90:J90" si="57">I91+I92+I93+I94+I95+I96</f>
        <v>113</v>
      </c>
      <c r="J90" s="134">
        <f t="shared" si="57"/>
        <v>117.473</v>
      </c>
      <c r="K90" s="59">
        <f t="shared" ref="K90:N90" si="58">K91+K92+K93+K94+K95+K96</f>
        <v>38.75</v>
      </c>
      <c r="L90" s="59">
        <f t="shared" si="58"/>
        <v>77.5</v>
      </c>
      <c r="M90" s="59">
        <f t="shared" si="58"/>
        <v>116.25</v>
      </c>
      <c r="N90" s="138">
        <f t="shared" si="58"/>
        <v>155</v>
      </c>
      <c r="O90" s="66">
        <f t="shared" si="52"/>
        <v>1.3194521294254851</v>
      </c>
      <c r="P90" s="66">
        <f t="shared" si="53"/>
        <v>1.1539020676784049</v>
      </c>
    </row>
    <row r="91" spans="1:16" ht="15.75" customHeight="1">
      <c r="A91" s="285"/>
      <c r="B91" s="285"/>
      <c r="C91" s="67" t="s">
        <v>15</v>
      </c>
      <c r="D91" s="286" t="s">
        <v>230</v>
      </c>
      <c r="E91" s="286"/>
      <c r="F91" s="67">
        <v>79</v>
      </c>
      <c r="G91" s="167">
        <v>21.71</v>
      </c>
      <c r="H91" s="67"/>
      <c r="I91" s="170">
        <v>26</v>
      </c>
      <c r="J91" s="167">
        <v>26.372</v>
      </c>
      <c r="K91" s="61">
        <f>N91/4</f>
        <v>6.75</v>
      </c>
      <c r="L91" s="61">
        <f>(N91/4)+K91</f>
        <v>13.5</v>
      </c>
      <c r="M91" s="61">
        <f>(N91/4)+L91</f>
        <v>20.25</v>
      </c>
      <c r="N91" s="139">
        <v>27</v>
      </c>
      <c r="O91" s="68">
        <f t="shared" si="52"/>
        <v>1.0238131351433339</v>
      </c>
      <c r="P91" s="69">
        <f t="shared" si="53"/>
        <v>1.2147397512666973</v>
      </c>
    </row>
    <row r="92" spans="1:16" ht="15.75" customHeight="1">
      <c r="A92" s="285"/>
      <c r="B92" s="285"/>
      <c r="C92" s="67" t="s">
        <v>17</v>
      </c>
      <c r="D92" s="286" t="s">
        <v>231</v>
      </c>
      <c r="E92" s="286"/>
      <c r="F92" s="67">
        <v>80</v>
      </c>
      <c r="G92" s="167"/>
      <c r="H92" s="67"/>
      <c r="I92" s="170">
        <v>0</v>
      </c>
      <c r="J92" s="167"/>
      <c r="K92" s="61">
        <v>0</v>
      </c>
      <c r="L92" s="61">
        <v>0</v>
      </c>
      <c r="M92" s="61">
        <v>0</v>
      </c>
      <c r="N92" s="139">
        <v>0</v>
      </c>
      <c r="O92" s="68" t="str">
        <f t="shared" si="52"/>
        <v>0</v>
      </c>
      <c r="P92" s="69" t="str">
        <f t="shared" si="53"/>
        <v>0</v>
      </c>
    </row>
    <row r="93" spans="1:16" ht="15.75" customHeight="1">
      <c r="A93" s="285"/>
      <c r="B93" s="285"/>
      <c r="C93" s="67" t="s">
        <v>65</v>
      </c>
      <c r="D93" s="286" t="s">
        <v>232</v>
      </c>
      <c r="E93" s="286"/>
      <c r="F93" s="67">
        <v>81</v>
      </c>
      <c r="G93" s="167"/>
      <c r="H93" s="67"/>
      <c r="I93" s="170">
        <v>0</v>
      </c>
      <c r="J93" s="167"/>
      <c r="K93" s="61">
        <v>0</v>
      </c>
      <c r="L93" s="61">
        <v>0</v>
      </c>
      <c r="M93" s="61">
        <v>0</v>
      </c>
      <c r="N93" s="139">
        <v>0</v>
      </c>
      <c r="O93" s="68" t="str">
        <f t="shared" si="52"/>
        <v>0</v>
      </c>
      <c r="P93" s="69" t="str">
        <f t="shared" si="53"/>
        <v>0</v>
      </c>
    </row>
    <row r="94" spans="1:16" ht="15.75" customHeight="1">
      <c r="A94" s="285"/>
      <c r="B94" s="285"/>
      <c r="C94" s="67" t="s">
        <v>75</v>
      </c>
      <c r="D94" s="286" t="s">
        <v>233</v>
      </c>
      <c r="E94" s="286"/>
      <c r="F94" s="67">
        <v>82</v>
      </c>
      <c r="G94" s="167"/>
      <c r="H94" s="67"/>
      <c r="I94" s="170">
        <v>0</v>
      </c>
      <c r="J94" s="167"/>
      <c r="K94" s="61">
        <v>0</v>
      </c>
      <c r="L94" s="61">
        <v>0</v>
      </c>
      <c r="M94" s="61">
        <v>0</v>
      </c>
      <c r="N94" s="139">
        <v>0</v>
      </c>
      <c r="O94" s="68" t="str">
        <f t="shared" si="52"/>
        <v>0</v>
      </c>
      <c r="P94" s="69" t="str">
        <f t="shared" si="53"/>
        <v>0</v>
      </c>
    </row>
    <row r="95" spans="1:16" ht="15.75" customHeight="1">
      <c r="A95" s="285"/>
      <c r="B95" s="285"/>
      <c r="C95" s="67" t="s">
        <v>77</v>
      </c>
      <c r="D95" s="286" t="s">
        <v>234</v>
      </c>
      <c r="E95" s="286"/>
      <c r="F95" s="67">
        <v>83</v>
      </c>
      <c r="G95" s="167">
        <f>65.553+0.236</f>
        <v>65.789000000000001</v>
      </c>
      <c r="H95" s="67"/>
      <c r="I95" s="170">
        <v>67</v>
      </c>
      <c r="J95" s="167">
        <f>74.098+0.237</f>
        <v>74.334999999999994</v>
      </c>
      <c r="K95" s="61">
        <f>N95/4</f>
        <v>27</v>
      </c>
      <c r="L95" s="61">
        <f>(N95/4)+K95</f>
        <v>54</v>
      </c>
      <c r="M95" s="61">
        <f>(N95/4)+L95</f>
        <v>81</v>
      </c>
      <c r="N95" s="139">
        <v>108</v>
      </c>
      <c r="O95" s="68">
        <f t="shared" si="52"/>
        <v>1.4528822223716957</v>
      </c>
      <c r="P95" s="69">
        <f t="shared" si="53"/>
        <v>1.1299001352809739</v>
      </c>
    </row>
    <row r="96" spans="1:16" ht="21.75" customHeight="1">
      <c r="A96" s="285"/>
      <c r="B96" s="285"/>
      <c r="C96" s="67" t="s">
        <v>140</v>
      </c>
      <c r="D96" s="286" t="s">
        <v>235</v>
      </c>
      <c r="E96" s="286"/>
      <c r="F96" s="67">
        <v>84</v>
      </c>
      <c r="G96" s="167">
        <f>11.357+0.579+1.742+0.25+0.378</f>
        <v>14.306000000000001</v>
      </c>
      <c r="H96" s="67"/>
      <c r="I96" s="170">
        <v>20</v>
      </c>
      <c r="J96" s="167">
        <f>13.42+0.678+2.321+0.347</f>
        <v>16.766000000000002</v>
      </c>
      <c r="K96" s="61">
        <f>N96/4</f>
        <v>5</v>
      </c>
      <c r="L96" s="61">
        <f>(N96/4)+K96</f>
        <v>10</v>
      </c>
      <c r="M96" s="61">
        <f>(N96/4)+L96</f>
        <v>15</v>
      </c>
      <c r="N96" s="139">
        <v>20</v>
      </c>
      <c r="O96" s="68">
        <f t="shared" si="52"/>
        <v>1.1928903733746867</v>
      </c>
      <c r="P96" s="69">
        <f t="shared" si="53"/>
        <v>1.1719558227317211</v>
      </c>
    </row>
    <row r="97" spans="1:18" s="60" customFormat="1" ht="22.5" customHeight="1">
      <c r="A97" s="285"/>
      <c r="B97" s="285"/>
      <c r="C97" s="287" t="s">
        <v>236</v>
      </c>
      <c r="D97" s="287"/>
      <c r="E97" s="287"/>
      <c r="F97" s="65">
        <v>85</v>
      </c>
      <c r="G97" s="59">
        <f>G99+G103+G111+G115+G124</f>
        <v>2014.3150000000001</v>
      </c>
      <c r="H97" s="59"/>
      <c r="I97" s="59">
        <f t="shared" ref="I97" si="59">I98+I111+I115+I124</f>
        <v>3061.654</v>
      </c>
      <c r="J97" s="134">
        <f>J99+J103+J111+J115+J124</f>
        <v>2758.9300000000003</v>
      </c>
      <c r="K97" s="59">
        <f t="shared" ref="K97:N97" si="60">K98+K111+K115+K124</f>
        <v>897.46474999999998</v>
      </c>
      <c r="L97" s="59">
        <f t="shared" si="60"/>
        <v>1466.4894999999999</v>
      </c>
      <c r="M97" s="59">
        <f t="shared" si="60"/>
        <v>2199.73425</v>
      </c>
      <c r="N97" s="138">
        <f t="shared" si="60"/>
        <v>3165.8009999999999</v>
      </c>
      <c r="O97" s="66">
        <f t="shared" si="52"/>
        <v>1.1474742019551056</v>
      </c>
      <c r="P97" s="66">
        <f t="shared" si="53"/>
        <v>1.3696616467632918</v>
      </c>
    </row>
    <row r="98" spans="1:18" s="62" customFormat="1" ht="21" customHeight="1">
      <c r="A98" s="285"/>
      <c r="B98" s="285"/>
      <c r="C98" s="70" t="s">
        <v>29</v>
      </c>
      <c r="D98" s="287" t="s">
        <v>237</v>
      </c>
      <c r="E98" s="287"/>
      <c r="F98" s="65">
        <v>86</v>
      </c>
      <c r="G98" s="59">
        <f>G99+G103</f>
        <v>1840.9299999999998</v>
      </c>
      <c r="H98" s="71"/>
      <c r="I98" s="59">
        <f t="shared" ref="I98:J98" si="61">I99+I103</f>
        <v>2954.2139999999999</v>
      </c>
      <c r="J98" s="134">
        <f t="shared" si="61"/>
        <v>2667.8460000000005</v>
      </c>
      <c r="K98" s="63">
        <f t="shared" ref="K98:N98" si="62">K99+K103</f>
        <v>879.10474999999997</v>
      </c>
      <c r="L98" s="63">
        <f t="shared" si="62"/>
        <v>1429.7694999999999</v>
      </c>
      <c r="M98" s="63">
        <f t="shared" si="62"/>
        <v>2144.65425</v>
      </c>
      <c r="N98" s="138">
        <f t="shared" si="62"/>
        <v>3057.3609999999999</v>
      </c>
      <c r="O98" s="66">
        <f t="shared" si="52"/>
        <v>1.1460035549278329</v>
      </c>
      <c r="P98" s="66">
        <f t="shared" si="53"/>
        <v>1.4491838364305001</v>
      </c>
    </row>
    <row r="99" spans="1:18" s="62" customFormat="1" ht="22.5" customHeight="1">
      <c r="A99" s="285"/>
      <c r="B99" s="285"/>
      <c r="C99" s="65" t="s">
        <v>31</v>
      </c>
      <c r="D99" s="284" t="s">
        <v>238</v>
      </c>
      <c r="E99" s="284"/>
      <c r="F99" s="65">
        <v>87</v>
      </c>
      <c r="G99" s="59">
        <f>G100+G101+G102</f>
        <v>1735.2199999999998</v>
      </c>
      <c r="H99" s="71"/>
      <c r="I99" s="59">
        <f t="shared" ref="I99:J99" si="63">I100+I101+I102</f>
        <v>2508.31</v>
      </c>
      <c r="J99" s="134">
        <f t="shared" si="63"/>
        <v>2257.1260000000002</v>
      </c>
      <c r="K99" s="63">
        <f t="shared" ref="K99:N99" si="64">K100+K101+K102</f>
        <v>690.88474999999994</v>
      </c>
      <c r="L99" s="63">
        <f t="shared" si="64"/>
        <v>1381.7694999999999</v>
      </c>
      <c r="M99" s="63">
        <f t="shared" si="64"/>
        <v>2072.65425</v>
      </c>
      <c r="N99" s="138">
        <f t="shared" si="64"/>
        <v>2763.5389999999998</v>
      </c>
      <c r="O99" s="66">
        <f t="shared" si="52"/>
        <v>1.2243618654873496</v>
      </c>
      <c r="P99" s="66">
        <f t="shared" si="53"/>
        <v>1.3007722363734862</v>
      </c>
    </row>
    <row r="100" spans="1:18" ht="25.5" customHeight="1">
      <c r="A100" s="285"/>
      <c r="B100" s="285"/>
      <c r="C100" s="67"/>
      <c r="D100" s="286" t="s">
        <v>239</v>
      </c>
      <c r="E100" s="286"/>
      <c r="F100" s="67">
        <v>88</v>
      </c>
      <c r="G100" s="167">
        <f>1026.08+10.58</f>
        <v>1036.6599999999999</v>
      </c>
      <c r="H100" s="67"/>
      <c r="I100" s="170">
        <v>1391.12</v>
      </c>
      <c r="J100" s="167">
        <f>1421.114-193.76+9.993</f>
        <v>1237.347</v>
      </c>
      <c r="K100" s="61">
        <f>N100/4</f>
        <v>382.55574999999999</v>
      </c>
      <c r="L100" s="61">
        <f>(N100/4)+K100</f>
        <v>765.11149999999998</v>
      </c>
      <c r="M100" s="61">
        <f>(N100/4)+L100</f>
        <v>1147.66725</v>
      </c>
      <c r="N100" s="139">
        <v>1530.223</v>
      </c>
      <c r="O100" s="68">
        <f t="shared" si="52"/>
        <v>1.2366967390715782</v>
      </c>
      <c r="P100" s="69">
        <f t="shared" si="53"/>
        <v>1.1935899909324177</v>
      </c>
      <c r="R100" s="55"/>
    </row>
    <row r="101" spans="1:18" ht="25.5" customHeight="1">
      <c r="A101" s="285"/>
      <c r="B101" s="285"/>
      <c r="C101" s="285"/>
      <c r="D101" s="286" t="s">
        <v>240</v>
      </c>
      <c r="E101" s="286"/>
      <c r="F101" s="67">
        <v>89</v>
      </c>
      <c r="G101" s="167">
        <f>698.56</f>
        <v>698.56</v>
      </c>
      <c r="H101" s="67"/>
      <c r="I101" s="170">
        <v>1117.19</v>
      </c>
      <c r="J101" s="167">
        <v>1019.779</v>
      </c>
      <c r="K101" s="61">
        <f>N101/4</f>
        <v>308.32900000000001</v>
      </c>
      <c r="L101" s="61">
        <f>(N101/4)+K101</f>
        <v>616.65800000000002</v>
      </c>
      <c r="M101" s="61">
        <f>(N101/4)+L101</f>
        <v>924.98700000000008</v>
      </c>
      <c r="N101" s="139">
        <v>1233.316</v>
      </c>
      <c r="O101" s="68">
        <f t="shared" si="52"/>
        <v>1.2093953689966159</v>
      </c>
      <c r="P101" s="69">
        <f t="shared" si="53"/>
        <v>1.459830222171324</v>
      </c>
      <c r="R101" s="55"/>
    </row>
    <row r="102" spans="1:18" ht="23.25" customHeight="1">
      <c r="A102" s="285"/>
      <c r="B102" s="285"/>
      <c r="C102" s="285"/>
      <c r="D102" s="286" t="s">
        <v>241</v>
      </c>
      <c r="E102" s="286"/>
      <c r="F102" s="67">
        <v>90</v>
      </c>
      <c r="G102" s="167"/>
      <c r="H102" s="67"/>
      <c r="I102" s="170">
        <v>0</v>
      </c>
      <c r="J102" s="167"/>
      <c r="K102" s="61">
        <v>0</v>
      </c>
      <c r="L102" s="61">
        <v>0</v>
      </c>
      <c r="M102" s="61">
        <v>0</v>
      </c>
      <c r="N102" s="139">
        <v>0</v>
      </c>
      <c r="O102" s="68" t="str">
        <f t="shared" si="52"/>
        <v>0</v>
      </c>
      <c r="P102" s="69" t="str">
        <f t="shared" si="53"/>
        <v>0</v>
      </c>
      <c r="R102" s="55"/>
    </row>
    <row r="103" spans="1:18" s="62" customFormat="1" ht="19.5" customHeight="1">
      <c r="A103" s="285"/>
      <c r="B103" s="285"/>
      <c r="C103" s="65" t="s">
        <v>33</v>
      </c>
      <c r="D103" s="284" t="s">
        <v>242</v>
      </c>
      <c r="E103" s="284"/>
      <c r="F103" s="65">
        <v>91</v>
      </c>
      <c r="G103" s="59">
        <f t="shared" ref="G103" si="65">G104+G107+G108+G109+G110</f>
        <v>105.71</v>
      </c>
      <c r="H103" s="71"/>
      <c r="I103" s="59">
        <f t="shared" ref="I103:J103" si="66">I104+I107+I108+I109+I110</f>
        <v>445.904</v>
      </c>
      <c r="J103" s="134">
        <f t="shared" si="66"/>
        <v>410.72</v>
      </c>
      <c r="K103" s="63">
        <f t="shared" ref="K103:N103" si="67">K104+K107+K108+K109+K110</f>
        <v>188.22</v>
      </c>
      <c r="L103" s="63">
        <f t="shared" si="67"/>
        <v>48</v>
      </c>
      <c r="M103" s="63">
        <f t="shared" si="67"/>
        <v>72</v>
      </c>
      <c r="N103" s="138">
        <f t="shared" si="67"/>
        <v>293.822</v>
      </c>
      <c r="O103" s="66">
        <f t="shared" si="52"/>
        <v>0.71538274250097389</v>
      </c>
      <c r="P103" s="66">
        <f t="shared" si="53"/>
        <v>3.8853467032447266</v>
      </c>
    </row>
    <row r="104" spans="1:18" ht="37.5" customHeight="1">
      <c r="A104" s="285"/>
      <c r="B104" s="285"/>
      <c r="C104" s="285"/>
      <c r="D104" s="286" t="s">
        <v>243</v>
      </c>
      <c r="E104" s="286"/>
      <c r="F104" s="67">
        <v>92</v>
      </c>
      <c r="G104" s="167"/>
      <c r="H104" s="67"/>
      <c r="I104" s="170">
        <v>0</v>
      </c>
      <c r="J104" s="167"/>
      <c r="K104" s="61">
        <v>0</v>
      </c>
      <c r="L104" s="61">
        <v>0</v>
      </c>
      <c r="M104" s="61">
        <v>0</v>
      </c>
      <c r="N104" s="139">
        <v>0</v>
      </c>
      <c r="O104" s="68" t="str">
        <f t="shared" si="52"/>
        <v>0</v>
      </c>
      <c r="P104" s="69" t="str">
        <f t="shared" si="53"/>
        <v>0</v>
      </c>
    </row>
    <row r="105" spans="1:18">
      <c r="A105" s="285"/>
      <c r="B105" s="285"/>
      <c r="C105" s="285"/>
      <c r="D105" s="286"/>
      <c r="E105" s="148" t="s">
        <v>244</v>
      </c>
      <c r="F105" s="67">
        <v>93</v>
      </c>
      <c r="G105" s="167"/>
      <c r="H105" s="67"/>
      <c r="I105" s="170">
        <v>0</v>
      </c>
      <c r="J105" s="167"/>
      <c r="K105" s="61">
        <v>0</v>
      </c>
      <c r="L105" s="61">
        <v>0</v>
      </c>
      <c r="M105" s="61">
        <v>0</v>
      </c>
      <c r="N105" s="139">
        <v>0</v>
      </c>
      <c r="O105" s="68" t="str">
        <f t="shared" si="52"/>
        <v>0</v>
      </c>
      <c r="P105" s="69" t="str">
        <f t="shared" si="53"/>
        <v>0</v>
      </c>
    </row>
    <row r="106" spans="1:18" ht="32.25" customHeight="1">
      <c r="A106" s="285"/>
      <c r="B106" s="285"/>
      <c r="C106" s="285"/>
      <c r="D106" s="286"/>
      <c r="E106" s="148" t="s">
        <v>245</v>
      </c>
      <c r="F106" s="67">
        <v>94</v>
      </c>
      <c r="G106" s="167"/>
      <c r="H106" s="67"/>
      <c r="I106" s="170">
        <v>0</v>
      </c>
      <c r="J106" s="167"/>
      <c r="K106" s="61">
        <v>0</v>
      </c>
      <c r="L106" s="61">
        <v>0</v>
      </c>
      <c r="M106" s="61">
        <v>0</v>
      </c>
      <c r="N106" s="139">
        <v>0</v>
      </c>
      <c r="O106" s="68" t="str">
        <f t="shared" si="52"/>
        <v>0</v>
      </c>
      <c r="P106" s="69" t="str">
        <f t="shared" si="53"/>
        <v>0</v>
      </c>
    </row>
    <row r="107" spans="1:18" ht="19.5" customHeight="1">
      <c r="A107" s="285"/>
      <c r="B107" s="285"/>
      <c r="C107" s="285"/>
      <c r="D107" s="286" t="s">
        <v>246</v>
      </c>
      <c r="E107" s="286"/>
      <c r="F107" s="67">
        <v>95</v>
      </c>
      <c r="G107" s="167">
        <v>97.08</v>
      </c>
      <c r="H107" s="67"/>
      <c r="I107" s="170">
        <v>177.98400000000001</v>
      </c>
      <c r="J107" s="167">
        <v>147.96</v>
      </c>
      <c r="K107" s="61">
        <f>N107/4</f>
        <v>24</v>
      </c>
      <c r="L107" s="61">
        <f>(N107/4)+K107</f>
        <v>48</v>
      </c>
      <c r="M107" s="61">
        <f>(N107/4)+L107</f>
        <v>72</v>
      </c>
      <c r="N107" s="139">
        <v>96</v>
      </c>
      <c r="O107" s="68">
        <f t="shared" si="52"/>
        <v>0.64882400648824001</v>
      </c>
      <c r="P107" s="69">
        <f t="shared" si="53"/>
        <v>1.5241038318912239</v>
      </c>
    </row>
    <row r="108" spans="1:18" ht="21" customHeight="1">
      <c r="A108" s="285"/>
      <c r="B108" s="285"/>
      <c r="C108" s="285"/>
      <c r="D108" s="286" t="s">
        <v>247</v>
      </c>
      <c r="E108" s="286"/>
      <c r="F108" s="67">
        <v>96</v>
      </c>
      <c r="G108" s="167"/>
      <c r="H108" s="67"/>
      <c r="I108" s="170">
        <v>69</v>
      </c>
      <c r="J108" s="167">
        <v>69</v>
      </c>
      <c r="K108" s="61">
        <v>0</v>
      </c>
      <c r="L108" s="61">
        <v>0</v>
      </c>
      <c r="M108" s="61">
        <v>0</v>
      </c>
      <c r="N108" s="139">
        <v>33.6</v>
      </c>
      <c r="O108" s="68">
        <f t="shared" si="52"/>
        <v>0.48695652173913045</v>
      </c>
      <c r="P108" s="69" t="str">
        <f t="shared" si="53"/>
        <v>0</v>
      </c>
    </row>
    <row r="109" spans="1:18" ht="23.25" customHeight="1">
      <c r="A109" s="285"/>
      <c r="B109" s="285"/>
      <c r="C109" s="285"/>
      <c r="D109" s="286" t="s">
        <v>248</v>
      </c>
      <c r="E109" s="286"/>
      <c r="F109" s="67">
        <v>97</v>
      </c>
      <c r="G109" s="167"/>
      <c r="H109" s="67"/>
      <c r="I109" s="170">
        <v>0</v>
      </c>
      <c r="J109" s="167"/>
      <c r="K109" s="61">
        <v>0</v>
      </c>
      <c r="L109" s="61">
        <v>0</v>
      </c>
      <c r="M109" s="61">
        <v>0</v>
      </c>
      <c r="N109" s="139">
        <v>0</v>
      </c>
      <c r="O109" s="68" t="str">
        <f t="shared" ref="O109:O140" si="68">IF(N109=0,"0",N109/J109)</f>
        <v>0</v>
      </c>
      <c r="P109" s="69" t="str">
        <f t="shared" ref="P109:P140" si="69">IF(G109=0,"0",J109/G109)</f>
        <v>0</v>
      </c>
    </row>
    <row r="110" spans="1:18" ht="18.75" customHeight="1">
      <c r="A110" s="285"/>
      <c r="B110" s="285"/>
      <c r="C110" s="285"/>
      <c r="D110" s="286" t="s">
        <v>249</v>
      </c>
      <c r="E110" s="286"/>
      <c r="F110" s="67">
        <v>98</v>
      </c>
      <c r="G110" s="167">
        <v>8.6300000000000008</v>
      </c>
      <c r="H110" s="67"/>
      <c r="I110" s="170">
        <v>198.92</v>
      </c>
      <c r="J110" s="167">
        <v>193.76</v>
      </c>
      <c r="K110" s="61">
        <v>164.22</v>
      </c>
      <c r="L110" s="61">
        <v>0</v>
      </c>
      <c r="M110" s="61">
        <v>0</v>
      </c>
      <c r="N110" s="139">
        <v>164.22200000000001</v>
      </c>
      <c r="O110" s="68">
        <f t="shared" si="68"/>
        <v>0.8475536746490504</v>
      </c>
      <c r="P110" s="69">
        <f t="shared" si="69"/>
        <v>22.451911935110079</v>
      </c>
    </row>
    <row r="111" spans="1:18" s="62" customFormat="1" ht="18.75" customHeight="1">
      <c r="A111" s="285"/>
      <c r="B111" s="285"/>
      <c r="C111" s="65" t="s">
        <v>35</v>
      </c>
      <c r="D111" s="284" t="s">
        <v>250</v>
      </c>
      <c r="E111" s="284"/>
      <c r="F111" s="65">
        <v>99</v>
      </c>
      <c r="G111" s="59">
        <f t="shared" ref="G111" si="70">G112+G113+G114</f>
        <v>0</v>
      </c>
      <c r="H111" s="71"/>
      <c r="I111" s="59">
        <f t="shared" ref="I111" si="71">I112+I113+I114</f>
        <v>0</v>
      </c>
      <c r="J111" s="134">
        <f>J112+J113+J114</f>
        <v>0</v>
      </c>
      <c r="K111" s="59">
        <f t="shared" ref="K111:N111" si="72">K112+K113+K114</f>
        <v>0</v>
      </c>
      <c r="L111" s="59">
        <f t="shared" si="72"/>
        <v>0</v>
      </c>
      <c r="M111" s="59">
        <f t="shared" si="72"/>
        <v>0</v>
      </c>
      <c r="N111" s="138">
        <f t="shared" si="72"/>
        <v>0</v>
      </c>
      <c r="O111" s="66" t="str">
        <f t="shared" si="68"/>
        <v>0</v>
      </c>
      <c r="P111" s="66" t="str">
        <f t="shared" si="69"/>
        <v>0</v>
      </c>
    </row>
    <row r="112" spans="1:18" ht="21.75" customHeight="1">
      <c r="A112" s="285"/>
      <c r="B112" s="285"/>
      <c r="C112" s="285"/>
      <c r="D112" s="286" t="s">
        <v>251</v>
      </c>
      <c r="E112" s="286"/>
      <c r="F112" s="67">
        <v>100</v>
      </c>
      <c r="G112" s="167"/>
      <c r="H112" s="67"/>
      <c r="I112" s="170">
        <v>0</v>
      </c>
      <c r="J112" s="167"/>
      <c r="K112" s="61">
        <v>0</v>
      </c>
      <c r="L112" s="61">
        <v>0</v>
      </c>
      <c r="M112" s="61">
        <v>0</v>
      </c>
      <c r="N112" s="139">
        <v>0</v>
      </c>
      <c r="O112" s="68" t="str">
        <f t="shared" si="68"/>
        <v>0</v>
      </c>
      <c r="P112" s="69" t="str">
        <f t="shared" si="69"/>
        <v>0</v>
      </c>
    </row>
    <row r="113" spans="1:16" ht="21.75" customHeight="1">
      <c r="A113" s="285"/>
      <c r="B113" s="285"/>
      <c r="C113" s="285"/>
      <c r="D113" s="286" t="s">
        <v>252</v>
      </c>
      <c r="E113" s="286"/>
      <c r="F113" s="67">
        <v>101</v>
      </c>
      <c r="G113" s="167"/>
      <c r="H113" s="67"/>
      <c r="I113" s="170">
        <v>0</v>
      </c>
      <c r="J113" s="167"/>
      <c r="K113" s="61">
        <v>0</v>
      </c>
      <c r="L113" s="61">
        <v>0</v>
      </c>
      <c r="M113" s="61">
        <v>0</v>
      </c>
      <c r="N113" s="139">
        <v>0</v>
      </c>
      <c r="O113" s="68" t="str">
        <f t="shared" si="68"/>
        <v>0</v>
      </c>
      <c r="P113" s="69" t="str">
        <f t="shared" si="69"/>
        <v>0</v>
      </c>
    </row>
    <row r="114" spans="1:16" ht="35.25" customHeight="1">
      <c r="A114" s="285"/>
      <c r="B114" s="285"/>
      <c r="C114" s="285"/>
      <c r="D114" s="286" t="s">
        <v>253</v>
      </c>
      <c r="E114" s="286"/>
      <c r="F114" s="67">
        <v>102</v>
      </c>
      <c r="G114" s="167"/>
      <c r="H114" s="67"/>
      <c r="I114" s="170">
        <v>0</v>
      </c>
      <c r="J114" s="167"/>
      <c r="K114" s="61">
        <v>0</v>
      </c>
      <c r="L114" s="61">
        <v>0</v>
      </c>
      <c r="M114" s="61">
        <v>0</v>
      </c>
      <c r="N114" s="139">
        <v>0</v>
      </c>
      <c r="O114" s="68" t="str">
        <f t="shared" si="68"/>
        <v>0</v>
      </c>
      <c r="P114" s="69" t="str">
        <f t="shared" si="69"/>
        <v>0</v>
      </c>
    </row>
    <row r="115" spans="1:16" s="62" customFormat="1" ht="50.25" customHeight="1">
      <c r="A115" s="285"/>
      <c r="B115" s="285"/>
      <c r="C115" s="65" t="s">
        <v>38</v>
      </c>
      <c r="D115" s="284" t="s">
        <v>254</v>
      </c>
      <c r="E115" s="284"/>
      <c r="F115" s="65">
        <v>103</v>
      </c>
      <c r="G115" s="59">
        <f>G116+G119</f>
        <v>131.03399999999999</v>
      </c>
      <c r="H115" s="71"/>
      <c r="I115" s="59">
        <f>I116+I119</f>
        <v>41.44</v>
      </c>
      <c r="J115" s="134">
        <f>J116+J119</f>
        <v>34.229999999999997</v>
      </c>
      <c r="K115" s="63">
        <f t="shared" ref="K115:M115" si="73">K116+K119+K122+K123</f>
        <v>10.36</v>
      </c>
      <c r="L115" s="63">
        <f t="shared" si="73"/>
        <v>20.72</v>
      </c>
      <c r="M115" s="63">
        <f t="shared" si="73"/>
        <v>31.08</v>
      </c>
      <c r="N115" s="138">
        <f>N116+N119</f>
        <v>41.44</v>
      </c>
      <c r="O115" s="66">
        <f t="shared" si="68"/>
        <v>1.2106339468302658</v>
      </c>
      <c r="P115" s="66">
        <f t="shared" si="69"/>
        <v>0.26122990979440452</v>
      </c>
    </row>
    <row r="116" spans="1:16" ht="15.75" customHeight="1">
      <c r="A116" s="285"/>
      <c r="B116" s="285"/>
      <c r="C116" s="285"/>
      <c r="D116" s="292" t="s">
        <v>255</v>
      </c>
      <c r="E116" s="292"/>
      <c r="F116" s="160">
        <v>104</v>
      </c>
      <c r="G116" s="167">
        <f t="shared" ref="G116" si="74">G117+G118</f>
        <v>96.804000000000002</v>
      </c>
      <c r="H116" s="160"/>
      <c r="I116" s="170">
        <f t="shared" ref="I116:J116" si="75">I117+I118</f>
        <v>0</v>
      </c>
      <c r="J116" s="167">
        <f t="shared" si="75"/>
        <v>0</v>
      </c>
      <c r="K116" s="72">
        <f t="shared" ref="K116:N116" si="76">K117+K118</f>
        <v>0</v>
      </c>
      <c r="L116" s="72">
        <f t="shared" si="76"/>
        <v>0</v>
      </c>
      <c r="M116" s="72">
        <f t="shared" si="76"/>
        <v>0</v>
      </c>
      <c r="N116" s="139">
        <f t="shared" si="76"/>
        <v>0</v>
      </c>
      <c r="O116" s="68" t="str">
        <f t="shared" si="68"/>
        <v>0</v>
      </c>
      <c r="P116" s="69">
        <f t="shared" si="69"/>
        <v>0</v>
      </c>
    </row>
    <row r="117" spans="1:16">
      <c r="A117" s="285"/>
      <c r="B117" s="285"/>
      <c r="C117" s="285"/>
      <c r="D117" s="148"/>
      <c r="E117" s="148" t="s">
        <v>256</v>
      </c>
      <c r="F117" s="67">
        <v>105</v>
      </c>
      <c r="G117" s="167">
        <v>96.804000000000002</v>
      </c>
      <c r="H117" s="67"/>
      <c r="I117" s="170">
        <v>0</v>
      </c>
      <c r="J117" s="167">
        <v>0</v>
      </c>
      <c r="K117" s="61">
        <f>N117/4</f>
        <v>0</v>
      </c>
      <c r="L117" s="61">
        <f>(N117/4)+K117</f>
        <v>0</v>
      </c>
      <c r="M117" s="61">
        <f>(N117/4)+L117</f>
        <v>0</v>
      </c>
      <c r="N117" s="139">
        <v>0</v>
      </c>
      <c r="O117" s="68" t="str">
        <f t="shared" si="68"/>
        <v>0</v>
      </c>
      <c r="P117" s="69">
        <f t="shared" si="69"/>
        <v>0</v>
      </c>
    </row>
    <row r="118" spans="1:16">
      <c r="A118" s="285"/>
      <c r="B118" s="285"/>
      <c r="C118" s="285"/>
      <c r="D118" s="148"/>
      <c r="E118" s="148" t="s">
        <v>257</v>
      </c>
      <c r="F118" s="67">
        <v>106</v>
      </c>
      <c r="G118" s="167"/>
      <c r="H118" s="67"/>
      <c r="I118" s="170">
        <v>0</v>
      </c>
      <c r="J118" s="167"/>
      <c r="K118" s="61">
        <v>0</v>
      </c>
      <c r="L118" s="61">
        <v>0</v>
      </c>
      <c r="M118" s="61">
        <f>(N118/4)+L118</f>
        <v>0</v>
      </c>
      <c r="N118" s="139">
        <v>0</v>
      </c>
      <c r="O118" s="68" t="str">
        <f t="shared" si="68"/>
        <v>0</v>
      </c>
      <c r="P118" s="69" t="str">
        <f t="shared" si="69"/>
        <v>0</v>
      </c>
    </row>
    <row r="119" spans="1:16" ht="18.75" customHeight="1">
      <c r="A119" s="285"/>
      <c r="B119" s="285"/>
      <c r="C119" s="285"/>
      <c r="D119" s="292" t="s">
        <v>258</v>
      </c>
      <c r="E119" s="292"/>
      <c r="F119" s="160">
        <v>107</v>
      </c>
      <c r="G119" s="167">
        <f t="shared" ref="G119" si="77">G120+G121</f>
        <v>34.229999999999997</v>
      </c>
      <c r="H119" s="160"/>
      <c r="I119" s="170">
        <f t="shared" ref="I119:J119" si="78">I120+I121</f>
        <v>41.44</v>
      </c>
      <c r="J119" s="167">
        <f t="shared" si="78"/>
        <v>34.229999999999997</v>
      </c>
      <c r="K119" s="72">
        <f t="shared" ref="K119:N119" si="79">K120+K121</f>
        <v>10.36</v>
      </c>
      <c r="L119" s="72">
        <f t="shared" si="79"/>
        <v>20.72</v>
      </c>
      <c r="M119" s="72">
        <f t="shared" si="79"/>
        <v>31.08</v>
      </c>
      <c r="N119" s="139">
        <f t="shared" si="79"/>
        <v>41.44</v>
      </c>
      <c r="O119" s="68">
        <f t="shared" si="68"/>
        <v>1.2106339468302658</v>
      </c>
      <c r="P119" s="69">
        <f t="shared" si="69"/>
        <v>1</v>
      </c>
    </row>
    <row r="120" spans="1:16" ht="17.25" customHeight="1">
      <c r="A120" s="285"/>
      <c r="B120" s="285"/>
      <c r="C120" s="285"/>
      <c r="D120" s="148"/>
      <c r="E120" s="148" t="s">
        <v>256</v>
      </c>
      <c r="F120" s="67">
        <v>108</v>
      </c>
      <c r="G120" s="167">
        <v>34.229999999999997</v>
      </c>
      <c r="H120" s="67"/>
      <c r="I120" s="171">
        <v>41.44</v>
      </c>
      <c r="J120" s="167">
        <v>34.229999999999997</v>
      </c>
      <c r="K120" s="61">
        <f>N120/4</f>
        <v>10.36</v>
      </c>
      <c r="L120" s="61">
        <f>(N120/4)+K120</f>
        <v>20.72</v>
      </c>
      <c r="M120" s="61">
        <f>(N120/4)+L120</f>
        <v>31.08</v>
      </c>
      <c r="N120" s="140">
        <v>41.44</v>
      </c>
      <c r="O120" s="68">
        <f t="shared" si="68"/>
        <v>1.2106339468302658</v>
      </c>
      <c r="P120" s="69">
        <f t="shared" si="69"/>
        <v>1</v>
      </c>
    </row>
    <row r="121" spans="1:16" ht="18" customHeight="1">
      <c r="A121" s="285"/>
      <c r="B121" s="285"/>
      <c r="C121" s="285"/>
      <c r="D121" s="148"/>
      <c r="E121" s="148" t="s">
        <v>257</v>
      </c>
      <c r="F121" s="67">
        <v>109</v>
      </c>
      <c r="G121" s="167"/>
      <c r="H121" s="67"/>
      <c r="I121" s="171">
        <v>0</v>
      </c>
      <c r="J121" s="167"/>
      <c r="K121" s="61">
        <v>0</v>
      </c>
      <c r="L121" s="61">
        <v>0</v>
      </c>
      <c r="M121" s="61">
        <v>0</v>
      </c>
      <c r="N121" s="140">
        <v>0</v>
      </c>
      <c r="O121" s="68" t="str">
        <f t="shared" si="68"/>
        <v>0</v>
      </c>
      <c r="P121" s="69" t="str">
        <f t="shared" si="69"/>
        <v>0</v>
      </c>
    </row>
    <row r="122" spans="1:16" ht="15.75" customHeight="1">
      <c r="A122" s="285"/>
      <c r="B122" s="285"/>
      <c r="C122" s="285"/>
      <c r="D122" s="286" t="s">
        <v>259</v>
      </c>
      <c r="E122" s="286"/>
      <c r="F122" s="67">
        <v>110</v>
      </c>
      <c r="G122" s="167"/>
      <c r="H122" s="67"/>
      <c r="I122" s="170">
        <v>0</v>
      </c>
      <c r="J122" s="167"/>
      <c r="K122" s="61">
        <v>0</v>
      </c>
      <c r="L122" s="61">
        <v>0</v>
      </c>
      <c r="M122" s="61">
        <v>0</v>
      </c>
      <c r="N122" s="139">
        <v>0</v>
      </c>
      <c r="O122" s="68" t="str">
        <f t="shared" si="68"/>
        <v>0</v>
      </c>
      <c r="P122" s="69" t="str">
        <f t="shared" si="69"/>
        <v>0</v>
      </c>
    </row>
    <row r="123" spans="1:16" ht="18" customHeight="1">
      <c r="A123" s="285"/>
      <c r="B123" s="285"/>
      <c r="C123" s="285"/>
      <c r="D123" s="286" t="s">
        <v>260</v>
      </c>
      <c r="E123" s="286"/>
      <c r="F123" s="67">
        <v>111</v>
      </c>
      <c r="G123" s="167"/>
      <c r="H123" s="67"/>
      <c r="I123" s="170">
        <v>0</v>
      </c>
      <c r="J123" s="167"/>
      <c r="K123" s="61">
        <v>0</v>
      </c>
      <c r="L123" s="61">
        <v>0</v>
      </c>
      <c r="M123" s="61">
        <v>0</v>
      </c>
      <c r="N123" s="139">
        <v>0</v>
      </c>
      <c r="O123" s="68" t="str">
        <f t="shared" si="68"/>
        <v>0</v>
      </c>
      <c r="P123" s="69" t="str">
        <f t="shared" si="69"/>
        <v>0</v>
      </c>
    </row>
    <row r="124" spans="1:16" ht="15" customHeight="1">
      <c r="A124" s="285"/>
      <c r="B124" s="285"/>
      <c r="C124" s="65" t="s">
        <v>40</v>
      </c>
      <c r="D124" s="284" t="s">
        <v>261</v>
      </c>
      <c r="E124" s="284"/>
      <c r="F124" s="65">
        <v>112</v>
      </c>
      <c r="G124" s="59">
        <f>39.407+2.944</f>
        <v>42.350999999999999</v>
      </c>
      <c r="H124" s="71"/>
      <c r="I124" s="59">
        <v>66</v>
      </c>
      <c r="J124" s="134">
        <f>56.086+0.768</f>
        <v>56.853999999999999</v>
      </c>
      <c r="K124" s="63">
        <v>8</v>
      </c>
      <c r="L124" s="63">
        <v>16</v>
      </c>
      <c r="M124" s="63">
        <v>24</v>
      </c>
      <c r="N124" s="138">
        <v>67</v>
      </c>
      <c r="O124" s="66">
        <f t="shared" si="68"/>
        <v>1.1784571006437541</v>
      </c>
      <c r="P124" s="66">
        <f t="shared" si="69"/>
        <v>1.3424476399612759</v>
      </c>
    </row>
    <row r="125" spans="1:16" s="60" customFormat="1" ht="33.75" customHeight="1">
      <c r="A125" s="285"/>
      <c r="B125" s="285"/>
      <c r="C125" s="287" t="s">
        <v>262</v>
      </c>
      <c r="D125" s="287"/>
      <c r="E125" s="287"/>
      <c r="F125" s="65">
        <v>113</v>
      </c>
      <c r="G125" s="59">
        <f t="shared" ref="G125" si="80">G126+G129+G130+G131+G132+G133</f>
        <v>381.14</v>
      </c>
      <c r="H125" s="65"/>
      <c r="I125" s="59">
        <f t="shared" ref="I125:J125" si="81">I126+I129+I130+I131+I132+I133</f>
        <v>490.53</v>
      </c>
      <c r="J125" s="134">
        <f t="shared" si="81"/>
        <v>600.19200000000001</v>
      </c>
      <c r="K125" s="59">
        <f t="shared" ref="K125:N125" si="82">K126+K129+K130+K131+K132+K133</f>
        <v>139.5</v>
      </c>
      <c r="L125" s="59">
        <f t="shared" si="82"/>
        <v>279</v>
      </c>
      <c r="M125" s="59">
        <f t="shared" si="82"/>
        <v>418.5</v>
      </c>
      <c r="N125" s="138">
        <f t="shared" si="82"/>
        <v>558.29999999999995</v>
      </c>
      <c r="O125" s="66">
        <f t="shared" si="68"/>
        <v>0.930202335252719</v>
      </c>
      <c r="P125" s="66">
        <f t="shared" si="69"/>
        <v>1.5747284462402267</v>
      </c>
    </row>
    <row r="126" spans="1:16" s="62" customFormat="1" ht="21" customHeight="1">
      <c r="A126" s="285"/>
      <c r="B126" s="285"/>
      <c r="C126" s="65" t="s">
        <v>15</v>
      </c>
      <c r="D126" s="284" t="s">
        <v>263</v>
      </c>
      <c r="E126" s="284"/>
      <c r="F126" s="65">
        <v>114</v>
      </c>
      <c r="G126" s="59">
        <f t="shared" ref="G126" si="83">G127+G128</f>
        <v>0.15</v>
      </c>
      <c r="H126" s="71"/>
      <c r="I126" s="59">
        <f t="shared" ref="I126" si="84">I127+I128</f>
        <v>0</v>
      </c>
      <c r="J126" s="134">
        <f>J127+J128</f>
        <v>0.32300000000000001</v>
      </c>
      <c r="K126" s="63">
        <f t="shared" ref="K126:N126" si="85">K127+K128</f>
        <v>0</v>
      </c>
      <c r="L126" s="63">
        <f t="shared" si="85"/>
        <v>0</v>
      </c>
      <c r="M126" s="63">
        <f t="shared" si="85"/>
        <v>0</v>
      </c>
      <c r="N126" s="138">
        <f t="shared" si="85"/>
        <v>0.3</v>
      </c>
      <c r="O126" s="66">
        <f t="shared" si="68"/>
        <v>0.92879256965944268</v>
      </c>
      <c r="P126" s="66">
        <f t="shared" si="69"/>
        <v>2.1533333333333333</v>
      </c>
    </row>
    <row r="127" spans="1:16" ht="18.75" customHeight="1">
      <c r="A127" s="285"/>
      <c r="B127" s="285"/>
      <c r="C127" s="67"/>
      <c r="D127" s="286" t="s">
        <v>264</v>
      </c>
      <c r="E127" s="286"/>
      <c r="F127" s="67">
        <v>115</v>
      </c>
      <c r="G127" s="167"/>
      <c r="H127" s="67"/>
      <c r="I127" s="170">
        <v>0</v>
      </c>
      <c r="J127" s="167"/>
      <c r="K127" s="61">
        <v>0</v>
      </c>
      <c r="L127" s="61">
        <v>0</v>
      </c>
      <c r="M127" s="61">
        <v>0</v>
      </c>
      <c r="N127" s="139">
        <v>0</v>
      </c>
      <c r="O127" s="68" t="str">
        <f t="shared" si="68"/>
        <v>0</v>
      </c>
      <c r="P127" s="69" t="str">
        <f t="shared" si="69"/>
        <v>0</v>
      </c>
    </row>
    <row r="128" spans="1:16" ht="19.5" customHeight="1">
      <c r="A128" s="285"/>
      <c r="B128" s="285"/>
      <c r="C128" s="67"/>
      <c r="D128" s="286" t="s">
        <v>265</v>
      </c>
      <c r="E128" s="286"/>
      <c r="F128" s="67">
        <v>116</v>
      </c>
      <c r="G128" s="167">
        <v>0.15</v>
      </c>
      <c r="H128" s="67"/>
      <c r="I128" s="170">
        <v>0</v>
      </c>
      <c r="J128" s="167">
        <v>0.32300000000000001</v>
      </c>
      <c r="K128" s="61">
        <v>0</v>
      </c>
      <c r="L128" s="61">
        <v>0</v>
      </c>
      <c r="M128" s="61">
        <v>0</v>
      </c>
      <c r="N128" s="139">
        <v>0.3</v>
      </c>
      <c r="O128" s="68">
        <f t="shared" si="68"/>
        <v>0.92879256965944268</v>
      </c>
      <c r="P128" s="69">
        <f t="shared" si="69"/>
        <v>2.1533333333333333</v>
      </c>
    </row>
    <row r="129" spans="1:16" ht="20.25" customHeight="1">
      <c r="A129" s="285"/>
      <c r="B129" s="285"/>
      <c r="C129" s="67" t="s">
        <v>17</v>
      </c>
      <c r="D129" s="286" t="s">
        <v>266</v>
      </c>
      <c r="E129" s="286"/>
      <c r="F129" s="67">
        <v>117</v>
      </c>
      <c r="G129" s="167"/>
      <c r="H129" s="67"/>
      <c r="I129" s="170">
        <v>0</v>
      </c>
      <c r="J129" s="167"/>
      <c r="K129" s="61">
        <v>0</v>
      </c>
      <c r="L129" s="61">
        <v>0</v>
      </c>
      <c r="M129" s="61">
        <v>0</v>
      </c>
      <c r="N129" s="139">
        <v>0</v>
      </c>
      <c r="O129" s="68" t="str">
        <f t="shared" si="68"/>
        <v>0</v>
      </c>
      <c r="P129" s="69" t="str">
        <f t="shared" si="69"/>
        <v>0</v>
      </c>
    </row>
    <row r="130" spans="1:16" ht="21.75" customHeight="1">
      <c r="A130" s="285"/>
      <c r="B130" s="285"/>
      <c r="C130" s="67" t="s">
        <v>65</v>
      </c>
      <c r="D130" s="286" t="s">
        <v>267</v>
      </c>
      <c r="E130" s="286"/>
      <c r="F130" s="67">
        <v>118</v>
      </c>
      <c r="G130" s="167"/>
      <c r="H130" s="67"/>
      <c r="I130" s="170">
        <v>0</v>
      </c>
      <c r="J130" s="167"/>
      <c r="K130" s="61">
        <v>0</v>
      </c>
      <c r="L130" s="61">
        <v>0</v>
      </c>
      <c r="M130" s="61">
        <v>0</v>
      </c>
      <c r="N130" s="139">
        <v>0</v>
      </c>
      <c r="O130" s="68" t="str">
        <f t="shared" si="68"/>
        <v>0</v>
      </c>
      <c r="P130" s="69" t="str">
        <f t="shared" si="69"/>
        <v>0</v>
      </c>
    </row>
    <row r="131" spans="1:16" ht="22.5" customHeight="1">
      <c r="A131" s="285"/>
      <c r="B131" s="285"/>
      <c r="C131" s="67" t="s">
        <v>75</v>
      </c>
      <c r="D131" s="286" t="s">
        <v>78</v>
      </c>
      <c r="E131" s="286"/>
      <c r="F131" s="67">
        <v>119</v>
      </c>
      <c r="G131" s="167">
        <f>0.005+0.5+136.609+119.723</f>
        <v>256.83699999999999</v>
      </c>
      <c r="H131" s="67"/>
      <c r="I131" s="170">
        <f>196.8+128.73</f>
        <v>325.52999999999997</v>
      </c>
      <c r="J131" s="167">
        <f>309.899+131.03</f>
        <v>440.92899999999997</v>
      </c>
      <c r="K131" s="61">
        <f>N131/4</f>
        <v>98.25</v>
      </c>
      <c r="L131" s="61">
        <f>(N131/4)+K131</f>
        <v>196.5</v>
      </c>
      <c r="M131" s="61">
        <f>(N131/4)+L131</f>
        <v>294.75</v>
      </c>
      <c r="N131" s="139">
        <f>133+260</f>
        <v>393</v>
      </c>
      <c r="O131" s="68">
        <f t="shared" si="68"/>
        <v>0.89129995985748278</v>
      </c>
      <c r="P131" s="69">
        <f t="shared" si="69"/>
        <v>1.7167658865350397</v>
      </c>
    </row>
    <row r="132" spans="1:16" ht="21.75" customHeight="1">
      <c r="A132" s="285"/>
      <c r="B132" s="285"/>
      <c r="C132" s="67" t="s">
        <v>77</v>
      </c>
      <c r="D132" s="286" t="s">
        <v>268</v>
      </c>
      <c r="E132" s="286"/>
      <c r="F132" s="67">
        <v>120</v>
      </c>
      <c r="G132" s="167">
        <f>123.41+0.743</f>
        <v>124.15299999999999</v>
      </c>
      <c r="H132" s="67"/>
      <c r="I132" s="170">
        <f>125+40</f>
        <v>165</v>
      </c>
      <c r="J132" s="167">
        <f>158.197+0.743</f>
        <v>158.94</v>
      </c>
      <c r="K132" s="61">
        <f>N132/4</f>
        <v>41.25</v>
      </c>
      <c r="L132" s="61">
        <f>(N132/4)+K132</f>
        <v>82.5</v>
      </c>
      <c r="M132" s="61">
        <f>(N132/4)+L132</f>
        <v>123.75</v>
      </c>
      <c r="N132" s="139">
        <v>165</v>
      </c>
      <c r="O132" s="68">
        <f t="shared" si="68"/>
        <v>1.0381275953189883</v>
      </c>
      <c r="P132" s="69">
        <f t="shared" si="69"/>
        <v>1.2801945986001144</v>
      </c>
    </row>
    <row r="133" spans="1:16" s="62" customFormat="1" ht="33.75" customHeight="1">
      <c r="A133" s="285"/>
      <c r="B133" s="285"/>
      <c r="C133" s="65" t="s">
        <v>140</v>
      </c>
      <c r="D133" s="284" t="s">
        <v>269</v>
      </c>
      <c r="E133" s="284"/>
      <c r="F133" s="65">
        <v>121</v>
      </c>
      <c r="G133" s="59">
        <f t="shared" ref="G133" si="86">G134-G137</f>
        <v>0</v>
      </c>
      <c r="H133" s="71"/>
      <c r="I133" s="59">
        <f t="shared" ref="I133" si="87">I134-I137</f>
        <v>0</v>
      </c>
      <c r="J133" s="134">
        <f>J134-J137</f>
        <v>0</v>
      </c>
      <c r="K133" s="59">
        <f t="shared" ref="K133:N133" si="88">K134-K137</f>
        <v>0</v>
      </c>
      <c r="L133" s="59">
        <f t="shared" si="88"/>
        <v>0</v>
      </c>
      <c r="M133" s="59">
        <f t="shared" si="88"/>
        <v>0</v>
      </c>
      <c r="N133" s="138">
        <f t="shared" si="88"/>
        <v>0</v>
      </c>
      <c r="O133" s="66" t="str">
        <f t="shared" si="68"/>
        <v>0</v>
      </c>
      <c r="P133" s="66" t="str">
        <f t="shared" si="69"/>
        <v>0</v>
      </c>
    </row>
    <row r="134" spans="1:16" ht="24" customHeight="1">
      <c r="A134" s="285"/>
      <c r="B134" s="285"/>
      <c r="C134" s="285"/>
      <c r="D134" s="67" t="s">
        <v>142</v>
      </c>
      <c r="E134" s="148" t="s">
        <v>270</v>
      </c>
      <c r="F134" s="67">
        <v>122</v>
      </c>
      <c r="G134" s="167"/>
      <c r="H134" s="67"/>
      <c r="I134" s="170">
        <v>0</v>
      </c>
      <c r="J134" s="167"/>
      <c r="K134" s="61">
        <v>0</v>
      </c>
      <c r="L134" s="61">
        <v>0</v>
      </c>
      <c r="M134" s="61">
        <v>0</v>
      </c>
      <c r="N134" s="139">
        <v>0</v>
      </c>
      <c r="O134" s="68" t="str">
        <f t="shared" si="68"/>
        <v>0</v>
      </c>
      <c r="P134" s="69" t="str">
        <f t="shared" si="69"/>
        <v>0</v>
      </c>
    </row>
    <row r="135" spans="1:16" ht="24" customHeight="1">
      <c r="A135" s="285"/>
      <c r="B135" s="285"/>
      <c r="C135" s="285"/>
      <c r="D135" s="67" t="s">
        <v>271</v>
      </c>
      <c r="E135" s="148" t="s">
        <v>272</v>
      </c>
      <c r="F135" s="67">
        <v>123</v>
      </c>
      <c r="G135" s="167"/>
      <c r="H135" s="67"/>
      <c r="I135" s="170">
        <v>0</v>
      </c>
      <c r="J135" s="167"/>
      <c r="K135" s="61">
        <v>0</v>
      </c>
      <c r="L135" s="61">
        <v>0</v>
      </c>
      <c r="M135" s="61">
        <v>0</v>
      </c>
      <c r="N135" s="139">
        <v>0</v>
      </c>
      <c r="O135" s="68" t="str">
        <f t="shared" si="68"/>
        <v>0</v>
      </c>
      <c r="P135" s="69" t="str">
        <f t="shared" si="69"/>
        <v>0</v>
      </c>
    </row>
    <row r="136" spans="1:16" ht="23.25" customHeight="1">
      <c r="A136" s="285"/>
      <c r="B136" s="285"/>
      <c r="C136" s="285"/>
      <c r="D136" s="67" t="s">
        <v>273</v>
      </c>
      <c r="E136" s="148" t="s">
        <v>274</v>
      </c>
      <c r="F136" s="67">
        <v>124</v>
      </c>
      <c r="G136" s="167"/>
      <c r="H136" s="67"/>
      <c r="I136" s="170">
        <v>0</v>
      </c>
      <c r="J136" s="167"/>
      <c r="K136" s="61">
        <v>0</v>
      </c>
      <c r="L136" s="61">
        <v>0</v>
      </c>
      <c r="M136" s="61">
        <v>0</v>
      </c>
      <c r="N136" s="139">
        <v>0</v>
      </c>
      <c r="O136" s="68" t="str">
        <f t="shared" si="68"/>
        <v>0</v>
      </c>
      <c r="P136" s="69" t="str">
        <f t="shared" si="69"/>
        <v>0</v>
      </c>
    </row>
    <row r="137" spans="1:16" ht="36" customHeight="1">
      <c r="A137" s="285"/>
      <c r="B137" s="285"/>
      <c r="C137" s="285"/>
      <c r="D137" s="67" t="s">
        <v>144</v>
      </c>
      <c r="E137" s="148" t="s">
        <v>275</v>
      </c>
      <c r="F137" s="67">
        <v>125</v>
      </c>
      <c r="G137" s="167"/>
      <c r="H137" s="67"/>
      <c r="I137" s="170">
        <v>0</v>
      </c>
      <c r="J137" s="167"/>
      <c r="K137" s="61">
        <v>0</v>
      </c>
      <c r="L137" s="61">
        <v>0</v>
      </c>
      <c r="M137" s="61">
        <v>0</v>
      </c>
      <c r="N137" s="139">
        <v>0</v>
      </c>
      <c r="O137" s="68" t="str">
        <f t="shared" si="68"/>
        <v>0</v>
      </c>
      <c r="P137" s="69" t="str">
        <f t="shared" si="69"/>
        <v>0</v>
      </c>
    </row>
    <row r="138" spans="1:16" ht="30" customHeight="1">
      <c r="A138" s="285"/>
      <c r="B138" s="285"/>
      <c r="C138" s="285"/>
      <c r="D138" s="155" t="s">
        <v>276</v>
      </c>
      <c r="E138" s="156" t="s">
        <v>277</v>
      </c>
      <c r="F138" s="155">
        <v>126</v>
      </c>
      <c r="G138" s="167">
        <f t="shared" ref="G138" si="89">G139+G140+G141</f>
        <v>0</v>
      </c>
      <c r="H138" s="67"/>
      <c r="I138" s="170">
        <f t="shared" ref="I138" si="90">I139+I140+I141</f>
        <v>0</v>
      </c>
      <c r="J138" s="167">
        <f>J139+J140+J141</f>
        <v>0</v>
      </c>
      <c r="K138" s="72">
        <f t="shared" ref="K138:N138" si="91">K139+K140+K141</f>
        <v>0</v>
      </c>
      <c r="L138" s="72">
        <f t="shared" si="91"/>
        <v>0</v>
      </c>
      <c r="M138" s="72">
        <f t="shared" si="91"/>
        <v>0</v>
      </c>
      <c r="N138" s="139">
        <f t="shared" si="91"/>
        <v>0</v>
      </c>
      <c r="O138" s="68" t="str">
        <f t="shared" si="68"/>
        <v>0</v>
      </c>
      <c r="P138" s="69" t="str">
        <f t="shared" si="69"/>
        <v>0</v>
      </c>
    </row>
    <row r="139" spans="1:16" ht="21" customHeight="1">
      <c r="A139" s="285"/>
      <c r="B139" s="285"/>
      <c r="C139" s="285"/>
      <c r="D139" s="286"/>
      <c r="E139" s="148" t="s">
        <v>278</v>
      </c>
      <c r="F139" s="67">
        <v>127</v>
      </c>
      <c r="G139" s="167"/>
      <c r="H139" s="67"/>
      <c r="I139" s="170">
        <v>0</v>
      </c>
      <c r="J139" s="167"/>
      <c r="K139" s="61">
        <v>0</v>
      </c>
      <c r="L139" s="61">
        <v>0</v>
      </c>
      <c r="M139" s="61">
        <v>0</v>
      </c>
      <c r="N139" s="139">
        <v>0</v>
      </c>
      <c r="O139" s="68" t="str">
        <f t="shared" si="68"/>
        <v>0</v>
      </c>
      <c r="P139" s="69" t="str">
        <f t="shared" si="69"/>
        <v>0</v>
      </c>
    </row>
    <row r="140" spans="1:16" ht="23.25" customHeight="1">
      <c r="A140" s="285"/>
      <c r="B140" s="285"/>
      <c r="C140" s="285"/>
      <c r="D140" s="286"/>
      <c r="E140" s="148" t="s">
        <v>279</v>
      </c>
      <c r="F140" s="67">
        <v>128</v>
      </c>
      <c r="G140" s="167"/>
      <c r="H140" s="67"/>
      <c r="I140" s="170">
        <v>0</v>
      </c>
      <c r="J140" s="167"/>
      <c r="K140" s="61">
        <v>0</v>
      </c>
      <c r="L140" s="61">
        <v>0</v>
      </c>
      <c r="M140" s="61">
        <v>0</v>
      </c>
      <c r="N140" s="139">
        <v>0</v>
      </c>
      <c r="O140" s="68" t="str">
        <f t="shared" si="68"/>
        <v>0</v>
      </c>
      <c r="P140" s="69" t="str">
        <f t="shared" si="69"/>
        <v>0</v>
      </c>
    </row>
    <row r="141" spans="1:16" ht="22.5" customHeight="1">
      <c r="A141" s="285"/>
      <c r="B141" s="285"/>
      <c r="C141" s="285"/>
      <c r="D141" s="286"/>
      <c r="E141" s="148" t="s">
        <v>280</v>
      </c>
      <c r="F141" s="67">
        <v>129</v>
      </c>
      <c r="G141" s="167"/>
      <c r="H141" s="67"/>
      <c r="I141" s="170">
        <v>0</v>
      </c>
      <c r="J141" s="167"/>
      <c r="K141" s="61">
        <v>0</v>
      </c>
      <c r="L141" s="61">
        <v>0</v>
      </c>
      <c r="M141" s="61">
        <v>0</v>
      </c>
      <c r="N141" s="139">
        <v>0</v>
      </c>
      <c r="O141" s="68" t="str">
        <f t="shared" ref="O141:O145" si="92">IF(N141=0,"0",N141/J141)</f>
        <v>0</v>
      </c>
      <c r="P141" s="69" t="str">
        <f t="shared" ref="P141:P153" si="93">IF(G141=0,"0",J141/G141)</f>
        <v>0</v>
      </c>
    </row>
    <row r="142" spans="1:16" s="62" customFormat="1" ht="25.5" customHeight="1">
      <c r="A142" s="285"/>
      <c r="B142" s="65">
        <v>2</v>
      </c>
      <c r="C142" s="65"/>
      <c r="D142" s="284" t="s">
        <v>281</v>
      </c>
      <c r="E142" s="284"/>
      <c r="F142" s="65">
        <v>130</v>
      </c>
      <c r="G142" s="59">
        <f t="shared" ref="G142" si="94">G143+G146+G149</f>
        <v>4.7E-2</v>
      </c>
      <c r="H142" s="71"/>
      <c r="I142" s="59">
        <f t="shared" ref="I142" si="95">I143+I146+I149</f>
        <v>1</v>
      </c>
      <c r="J142" s="134">
        <f>J143+J146+J149</f>
        <v>4.7E-2</v>
      </c>
      <c r="K142" s="59">
        <f t="shared" ref="K142:N142" si="96">K143+K146+K149</f>
        <v>0</v>
      </c>
      <c r="L142" s="59">
        <f t="shared" si="96"/>
        <v>0</v>
      </c>
      <c r="M142" s="59">
        <f t="shared" si="96"/>
        <v>0</v>
      </c>
      <c r="N142" s="138">
        <f t="shared" si="96"/>
        <v>1</v>
      </c>
      <c r="O142" s="66">
        <f t="shared" si="92"/>
        <v>21.276595744680851</v>
      </c>
      <c r="P142" s="66">
        <f t="shared" si="93"/>
        <v>1</v>
      </c>
    </row>
    <row r="143" spans="1:16" ht="21.75" customHeight="1">
      <c r="A143" s="285"/>
      <c r="B143" s="285"/>
      <c r="C143" s="67" t="s">
        <v>15</v>
      </c>
      <c r="D143" s="286" t="s">
        <v>282</v>
      </c>
      <c r="E143" s="286"/>
      <c r="F143" s="67">
        <v>131</v>
      </c>
      <c r="G143" s="167">
        <v>0</v>
      </c>
      <c r="H143" s="67"/>
      <c r="I143" s="170">
        <v>0</v>
      </c>
      <c r="J143" s="167">
        <v>0</v>
      </c>
      <c r="K143" s="61">
        <v>0</v>
      </c>
      <c r="L143" s="61">
        <v>0</v>
      </c>
      <c r="M143" s="61">
        <v>0</v>
      </c>
      <c r="N143" s="139">
        <v>0</v>
      </c>
      <c r="O143" s="68" t="str">
        <f t="shared" si="92"/>
        <v>0</v>
      </c>
      <c r="P143" s="69" t="str">
        <f t="shared" si="93"/>
        <v>0</v>
      </c>
    </row>
    <row r="144" spans="1:16" ht="18" customHeight="1">
      <c r="A144" s="285"/>
      <c r="B144" s="285"/>
      <c r="C144" s="285"/>
      <c r="D144" s="67" t="s">
        <v>124</v>
      </c>
      <c r="E144" s="148" t="s">
        <v>283</v>
      </c>
      <c r="F144" s="67">
        <v>132</v>
      </c>
      <c r="G144" s="167">
        <v>0</v>
      </c>
      <c r="H144" s="67"/>
      <c r="I144" s="170">
        <v>0</v>
      </c>
      <c r="J144" s="167">
        <v>0</v>
      </c>
      <c r="K144" s="61">
        <v>0</v>
      </c>
      <c r="L144" s="61">
        <v>0</v>
      </c>
      <c r="M144" s="61">
        <v>0</v>
      </c>
      <c r="N144" s="139">
        <v>0</v>
      </c>
      <c r="O144" s="68" t="str">
        <f t="shared" si="92"/>
        <v>0</v>
      </c>
      <c r="P144" s="69" t="str">
        <f t="shared" si="93"/>
        <v>0</v>
      </c>
    </row>
    <row r="145" spans="1:16" ht="22.5" customHeight="1">
      <c r="A145" s="285"/>
      <c r="B145" s="285"/>
      <c r="C145" s="285"/>
      <c r="D145" s="67" t="s">
        <v>126</v>
      </c>
      <c r="E145" s="148" t="s">
        <v>284</v>
      </c>
      <c r="F145" s="67">
        <v>133</v>
      </c>
      <c r="G145" s="167">
        <v>0</v>
      </c>
      <c r="H145" s="67"/>
      <c r="I145" s="170">
        <v>0</v>
      </c>
      <c r="J145" s="167">
        <v>0</v>
      </c>
      <c r="K145" s="61">
        <v>0</v>
      </c>
      <c r="L145" s="61">
        <v>0</v>
      </c>
      <c r="M145" s="61">
        <v>0</v>
      </c>
      <c r="N145" s="139">
        <v>0</v>
      </c>
      <c r="O145" s="68" t="str">
        <f t="shared" si="92"/>
        <v>0</v>
      </c>
      <c r="P145" s="69" t="str">
        <f t="shared" si="93"/>
        <v>0</v>
      </c>
    </row>
    <row r="146" spans="1:16" ht="24" customHeight="1">
      <c r="A146" s="285"/>
      <c r="B146" s="285"/>
      <c r="C146" s="67" t="s">
        <v>17</v>
      </c>
      <c r="D146" s="286" t="s">
        <v>285</v>
      </c>
      <c r="E146" s="286"/>
      <c r="F146" s="67">
        <v>134</v>
      </c>
      <c r="G146" s="167">
        <v>4.7E-2</v>
      </c>
      <c r="H146" s="72"/>
      <c r="I146" s="170">
        <v>1</v>
      </c>
      <c r="J146" s="167">
        <v>4.7E-2</v>
      </c>
      <c r="K146" s="61">
        <v>0</v>
      </c>
      <c r="L146" s="61">
        <v>0</v>
      </c>
      <c r="M146" s="61">
        <v>0</v>
      </c>
      <c r="N146" s="139">
        <v>1</v>
      </c>
      <c r="O146" s="68">
        <v>0</v>
      </c>
      <c r="P146" s="69">
        <f t="shared" si="93"/>
        <v>1</v>
      </c>
    </row>
    <row r="147" spans="1:16" ht="22.5" customHeight="1">
      <c r="A147" s="285"/>
      <c r="B147" s="285"/>
      <c r="C147" s="285"/>
      <c r="D147" s="67" t="s">
        <v>168</v>
      </c>
      <c r="E147" s="148" t="s">
        <v>283</v>
      </c>
      <c r="F147" s="67">
        <v>135</v>
      </c>
      <c r="G147" s="167">
        <v>0</v>
      </c>
      <c r="H147" s="67"/>
      <c r="I147" s="170">
        <v>0</v>
      </c>
      <c r="J147" s="167">
        <v>0</v>
      </c>
      <c r="K147" s="61">
        <v>0</v>
      </c>
      <c r="L147" s="61">
        <v>0</v>
      </c>
      <c r="M147" s="61">
        <v>0</v>
      </c>
      <c r="N147" s="139">
        <v>0</v>
      </c>
      <c r="O147" s="68" t="str">
        <f t="shared" ref="O147:O159" si="97">IF(N147=0,"0",N147/J147)</f>
        <v>0</v>
      </c>
      <c r="P147" s="69" t="str">
        <f t="shared" si="93"/>
        <v>0</v>
      </c>
    </row>
    <row r="148" spans="1:16" ht="22.5" customHeight="1">
      <c r="A148" s="285"/>
      <c r="B148" s="285"/>
      <c r="C148" s="285"/>
      <c r="D148" s="67" t="s">
        <v>170</v>
      </c>
      <c r="E148" s="148" t="s">
        <v>284</v>
      </c>
      <c r="F148" s="67">
        <v>136</v>
      </c>
      <c r="G148" s="167"/>
      <c r="H148" s="67"/>
      <c r="I148" s="170">
        <v>0</v>
      </c>
      <c r="J148" s="167"/>
      <c r="K148" s="61">
        <v>0</v>
      </c>
      <c r="L148" s="61">
        <v>0</v>
      </c>
      <c r="M148" s="61">
        <v>0</v>
      </c>
      <c r="N148" s="139">
        <v>0</v>
      </c>
      <c r="O148" s="68" t="str">
        <f t="shared" si="97"/>
        <v>0</v>
      </c>
      <c r="P148" s="69" t="str">
        <f t="shared" si="93"/>
        <v>0</v>
      </c>
    </row>
    <row r="149" spans="1:16" ht="23.25" customHeight="1">
      <c r="A149" s="285"/>
      <c r="B149" s="285"/>
      <c r="C149" s="67" t="s">
        <v>65</v>
      </c>
      <c r="D149" s="286" t="s">
        <v>286</v>
      </c>
      <c r="E149" s="286"/>
      <c r="F149" s="67">
        <v>137</v>
      </c>
      <c r="G149" s="167">
        <v>0</v>
      </c>
      <c r="H149" s="67"/>
      <c r="I149" s="170">
        <v>0</v>
      </c>
      <c r="J149" s="167">
        <v>0</v>
      </c>
      <c r="K149" s="61">
        <f>N149/4</f>
        <v>0</v>
      </c>
      <c r="L149" s="61">
        <f>(N149/4)+K149</f>
        <v>0</v>
      </c>
      <c r="M149" s="61">
        <v>0</v>
      </c>
      <c r="N149" s="139">
        <v>0</v>
      </c>
      <c r="O149" s="68" t="str">
        <f t="shared" si="97"/>
        <v>0</v>
      </c>
      <c r="P149" s="69" t="str">
        <f t="shared" si="93"/>
        <v>0</v>
      </c>
    </row>
    <row r="150" spans="1:16" s="173" customFormat="1" ht="23.25" customHeight="1">
      <c r="A150" s="65" t="s">
        <v>45</v>
      </c>
      <c r="B150" s="65"/>
      <c r="C150" s="65"/>
      <c r="D150" s="284" t="s">
        <v>287</v>
      </c>
      <c r="E150" s="284"/>
      <c r="F150" s="65">
        <v>138</v>
      </c>
      <c r="G150" s="59">
        <f t="shared" ref="G150" si="98">G13-G40</f>
        <v>875.14500000000135</v>
      </c>
      <c r="H150" s="65"/>
      <c r="I150" s="59">
        <f t="shared" ref="I150:J150" si="99">I13-I40</f>
        <v>591.91600000000017</v>
      </c>
      <c r="J150" s="134">
        <f t="shared" si="99"/>
        <v>1151.2029999999995</v>
      </c>
      <c r="K150" s="59">
        <f t="shared" ref="K150:N150" si="100">K13-K40</f>
        <v>45.650250000000142</v>
      </c>
      <c r="L150" s="59">
        <f t="shared" si="100"/>
        <v>422.74050000000079</v>
      </c>
      <c r="M150" s="59">
        <f t="shared" si="100"/>
        <v>634.11074999999937</v>
      </c>
      <c r="N150" s="138">
        <f t="shared" si="100"/>
        <v>600.35900000000129</v>
      </c>
      <c r="O150" s="66">
        <f t="shared" si="97"/>
        <v>0.52150576397038706</v>
      </c>
      <c r="P150" s="66">
        <f t="shared" si="93"/>
        <v>1.3154425838003962</v>
      </c>
    </row>
    <row r="151" spans="1:16" s="6" customFormat="1" ht="21" customHeight="1">
      <c r="A151" s="157"/>
      <c r="B151" s="157"/>
      <c r="C151" s="157"/>
      <c r="D151" s="158"/>
      <c r="E151" s="158" t="s">
        <v>288</v>
      </c>
      <c r="F151" s="157">
        <v>139</v>
      </c>
      <c r="G151" s="167"/>
      <c r="H151" s="67"/>
      <c r="I151" s="170">
        <v>0</v>
      </c>
      <c r="J151" s="167"/>
      <c r="K151" s="61">
        <v>0</v>
      </c>
      <c r="L151" s="61">
        <v>0</v>
      </c>
      <c r="M151" s="61">
        <v>0</v>
      </c>
      <c r="N151" s="139">
        <v>0</v>
      </c>
      <c r="O151" s="68" t="str">
        <f t="shared" si="97"/>
        <v>0</v>
      </c>
      <c r="P151" s="69" t="str">
        <f t="shared" si="93"/>
        <v>0</v>
      </c>
    </row>
    <row r="152" spans="1:16" ht="20.25" customHeight="1">
      <c r="A152" s="67"/>
      <c r="B152" s="67"/>
      <c r="C152" s="67"/>
      <c r="D152" s="148"/>
      <c r="E152" s="148" t="s">
        <v>289</v>
      </c>
      <c r="F152" s="67">
        <v>140</v>
      </c>
      <c r="G152" s="167"/>
      <c r="H152" s="67"/>
      <c r="I152" s="170">
        <v>0</v>
      </c>
      <c r="J152" s="167">
        <v>44.939</v>
      </c>
      <c r="K152" s="61">
        <v>0</v>
      </c>
      <c r="L152" s="61">
        <v>0</v>
      </c>
      <c r="M152" s="61">
        <v>0</v>
      </c>
      <c r="N152" s="139">
        <v>0</v>
      </c>
      <c r="O152" s="68" t="str">
        <f t="shared" si="97"/>
        <v>0</v>
      </c>
      <c r="P152" s="69" t="str">
        <f t="shared" si="93"/>
        <v>0</v>
      </c>
    </row>
    <row r="153" spans="1:16" s="39" customFormat="1" ht="23.25" customHeight="1">
      <c r="A153" s="65" t="s">
        <v>47</v>
      </c>
      <c r="B153" s="65"/>
      <c r="C153" s="65"/>
      <c r="D153" s="284" t="s">
        <v>290</v>
      </c>
      <c r="E153" s="284"/>
      <c r="F153" s="65">
        <v>141</v>
      </c>
      <c r="G153" s="134">
        <f>199.97+2.217</f>
        <v>202.18700000000001</v>
      </c>
      <c r="H153" s="59"/>
      <c r="I153" s="59">
        <f t="shared" ref="I153" si="101">(I150*16%)+I152-I151</f>
        <v>94.706560000000025</v>
      </c>
      <c r="J153" s="134">
        <f>152.44+2.939</f>
        <v>155.37899999999999</v>
      </c>
      <c r="K153" s="59">
        <f t="shared" ref="K153:N153" si="102">(K150*16%)+K152-K151</f>
        <v>7.3040400000000227</v>
      </c>
      <c r="L153" s="59">
        <f t="shared" si="102"/>
        <v>67.638480000000129</v>
      </c>
      <c r="M153" s="59">
        <f t="shared" si="102"/>
        <v>101.4577199999999</v>
      </c>
      <c r="N153" s="138">
        <f t="shared" si="102"/>
        <v>96.057440000000213</v>
      </c>
      <c r="O153" s="66">
        <f t="shared" si="97"/>
        <v>0.61821378693388562</v>
      </c>
      <c r="P153" s="66">
        <f t="shared" si="93"/>
        <v>0.7684915449559071</v>
      </c>
    </row>
    <row r="154" spans="1:16" s="39" customFormat="1" ht="22.5" customHeight="1">
      <c r="A154" s="65" t="s">
        <v>53</v>
      </c>
      <c r="B154" s="65"/>
      <c r="C154" s="65"/>
      <c r="D154" s="284" t="s">
        <v>86</v>
      </c>
      <c r="E154" s="284"/>
      <c r="F154" s="65"/>
      <c r="G154" s="134"/>
      <c r="H154" s="65"/>
      <c r="I154" s="59">
        <v>0</v>
      </c>
      <c r="J154" s="134"/>
      <c r="K154" s="59">
        <v>0</v>
      </c>
      <c r="L154" s="59">
        <v>0</v>
      </c>
      <c r="M154" s="59">
        <v>0</v>
      </c>
      <c r="N154" s="138">
        <v>0</v>
      </c>
      <c r="O154" s="66" t="str">
        <f t="shared" si="97"/>
        <v>0</v>
      </c>
      <c r="P154" s="66"/>
    </row>
    <row r="155" spans="1:16" ht="23.25" customHeight="1">
      <c r="A155" s="289"/>
      <c r="B155" s="157">
        <v>1</v>
      </c>
      <c r="C155" s="67"/>
      <c r="D155" s="293" t="s">
        <v>291</v>
      </c>
      <c r="E155" s="293"/>
      <c r="F155" s="67">
        <f>F153+1</f>
        <v>142</v>
      </c>
      <c r="G155" s="168">
        <f>G14</f>
        <v>4752.929000000001</v>
      </c>
      <c r="H155" s="73"/>
      <c r="I155" s="171">
        <f t="shared" ref="I155:J155" si="103">I14</f>
        <v>5536</v>
      </c>
      <c r="J155" s="168">
        <f t="shared" si="103"/>
        <v>5806.6039999999994</v>
      </c>
      <c r="K155" s="61">
        <f t="shared" ref="K155:N155" si="104">K14</f>
        <v>1460.9650000000001</v>
      </c>
      <c r="L155" s="61">
        <f t="shared" si="104"/>
        <v>2924.9300000000003</v>
      </c>
      <c r="M155" s="61">
        <f t="shared" si="104"/>
        <v>4387.3949999999995</v>
      </c>
      <c r="N155" s="140">
        <f t="shared" si="104"/>
        <v>5843.8600000000006</v>
      </c>
      <c r="O155" s="68">
        <f t="shared" si="97"/>
        <v>1.0064161427230101</v>
      </c>
      <c r="P155" s="69">
        <f>IF(G155=0,"0",J155/G155)</f>
        <v>1.2216896149721568</v>
      </c>
    </row>
    <row r="156" spans="1:16">
      <c r="A156" s="289"/>
      <c r="B156" s="157"/>
      <c r="C156" s="67"/>
      <c r="D156" s="148" t="s">
        <v>15</v>
      </c>
      <c r="E156" s="148" t="s">
        <v>292</v>
      </c>
      <c r="F156" s="67">
        <f>F155+1</f>
        <v>143</v>
      </c>
      <c r="G156" s="168"/>
      <c r="H156" s="67"/>
      <c r="I156" s="171">
        <v>0</v>
      </c>
      <c r="J156" s="168"/>
      <c r="K156" s="61">
        <v>0</v>
      </c>
      <c r="L156" s="61">
        <v>0</v>
      </c>
      <c r="M156" s="61">
        <v>0</v>
      </c>
      <c r="N156" s="140">
        <v>0</v>
      </c>
      <c r="O156" s="68" t="str">
        <f t="shared" si="97"/>
        <v>0</v>
      </c>
      <c r="P156" s="69" t="str">
        <f>IF(G156=0,"0",J156/G156)</f>
        <v>0</v>
      </c>
    </row>
    <row r="157" spans="1:16" ht="33.75" customHeight="1">
      <c r="A157" s="289"/>
      <c r="B157" s="67"/>
      <c r="C157" s="67"/>
      <c r="D157" s="148" t="s">
        <v>17</v>
      </c>
      <c r="E157" s="148" t="s">
        <v>293</v>
      </c>
      <c r="F157" s="67">
        <f t="shared" ref="F157:F187" si="105">F156+1</f>
        <v>144</v>
      </c>
      <c r="G157" s="168"/>
      <c r="H157" s="67"/>
      <c r="I157" s="171">
        <v>0</v>
      </c>
      <c r="J157" s="168"/>
      <c r="K157" s="61">
        <v>0</v>
      </c>
      <c r="L157" s="61">
        <v>0</v>
      </c>
      <c r="M157" s="61">
        <v>0</v>
      </c>
      <c r="N157" s="140">
        <v>0</v>
      </c>
      <c r="O157" s="68" t="str">
        <f t="shared" si="97"/>
        <v>0</v>
      </c>
      <c r="P157" s="68" t="str">
        <f>IF(G157=0,"0",J157/G157)</f>
        <v>0</v>
      </c>
    </row>
    <row r="158" spans="1:16" s="6" customFormat="1" ht="24" customHeight="1">
      <c r="A158" s="289"/>
      <c r="B158" s="67">
        <v>2</v>
      </c>
      <c r="C158" s="67"/>
      <c r="D158" s="293" t="s">
        <v>294</v>
      </c>
      <c r="E158" s="293"/>
      <c r="F158" s="67">
        <f t="shared" si="105"/>
        <v>145</v>
      </c>
      <c r="G158" s="167">
        <f>G41</f>
        <v>3877.837</v>
      </c>
      <c r="H158" s="72"/>
      <c r="I158" s="170">
        <f t="shared" ref="I158:J158" si="106">I41</f>
        <v>4943.1840000000002</v>
      </c>
      <c r="J158" s="167">
        <f t="shared" si="106"/>
        <v>4655.4830000000002</v>
      </c>
      <c r="K158" s="72">
        <f t="shared" ref="K158:N158" si="107">K41</f>
        <v>1415.3397500000001</v>
      </c>
      <c r="L158" s="72">
        <f t="shared" si="107"/>
        <v>2502.2394999999997</v>
      </c>
      <c r="M158" s="72">
        <f t="shared" si="107"/>
        <v>3753.35925</v>
      </c>
      <c r="N158" s="139">
        <f t="shared" si="107"/>
        <v>5242.6009999999997</v>
      </c>
      <c r="O158" s="68">
        <f t="shared" si="97"/>
        <v>1.1261132303565493</v>
      </c>
      <c r="P158" s="68">
        <f>IF(G158=0,"0",J158/G158)</f>
        <v>1.2005360204670801</v>
      </c>
    </row>
    <row r="159" spans="1:16" ht="45">
      <c r="A159" s="289"/>
      <c r="B159" s="67"/>
      <c r="C159" s="67"/>
      <c r="D159" s="161" t="s">
        <v>15</v>
      </c>
      <c r="E159" s="161" t="s">
        <v>295</v>
      </c>
      <c r="F159" s="67">
        <f t="shared" si="105"/>
        <v>146</v>
      </c>
      <c r="G159" s="167"/>
      <c r="H159" s="67"/>
      <c r="I159" s="170"/>
      <c r="J159" s="167"/>
      <c r="K159" s="61"/>
      <c r="L159" s="61"/>
      <c r="M159" s="61"/>
      <c r="N159" s="139"/>
      <c r="O159" s="68" t="str">
        <f t="shared" si="97"/>
        <v>0</v>
      </c>
      <c r="P159" s="68" t="str">
        <f>IF(G159=0,"0",J159/G159)</f>
        <v>0</v>
      </c>
    </row>
    <row r="160" spans="1:16">
      <c r="A160" s="289"/>
      <c r="B160" s="67">
        <v>3</v>
      </c>
      <c r="C160" s="157"/>
      <c r="D160" s="294" t="s">
        <v>296</v>
      </c>
      <c r="E160" s="294"/>
      <c r="F160" s="67">
        <f t="shared" si="105"/>
        <v>147</v>
      </c>
      <c r="G160" s="167">
        <f t="shared" ref="G160" si="108">G98</f>
        <v>1840.9299999999998</v>
      </c>
      <c r="H160" s="72"/>
      <c r="I160" s="170">
        <f t="shared" ref="I160:J160" si="109">I98</f>
        <v>2954.2139999999999</v>
      </c>
      <c r="J160" s="167">
        <f t="shared" si="109"/>
        <v>2667.8460000000005</v>
      </c>
      <c r="K160" s="72">
        <f t="shared" ref="K160:P160" si="110">K98</f>
        <v>879.10474999999997</v>
      </c>
      <c r="L160" s="72">
        <f t="shared" si="110"/>
        <v>1429.7694999999999</v>
      </c>
      <c r="M160" s="72">
        <f t="shared" si="110"/>
        <v>2144.65425</v>
      </c>
      <c r="N160" s="139">
        <f t="shared" si="110"/>
        <v>3057.3609999999999</v>
      </c>
      <c r="O160" s="72">
        <f t="shared" si="110"/>
        <v>1.1460035549278329</v>
      </c>
      <c r="P160" s="72">
        <f t="shared" si="110"/>
        <v>1.4491838364305001</v>
      </c>
    </row>
    <row r="161" spans="1:16">
      <c r="A161" s="289"/>
      <c r="B161" s="67"/>
      <c r="C161" s="157"/>
      <c r="D161" s="162" t="s">
        <v>15</v>
      </c>
      <c r="E161" s="162" t="s">
        <v>297</v>
      </c>
      <c r="F161" s="67" t="s">
        <v>298</v>
      </c>
      <c r="G161" s="167"/>
      <c r="H161" s="67"/>
      <c r="I161" s="170"/>
      <c r="J161" s="167"/>
      <c r="K161" s="61"/>
      <c r="L161" s="61"/>
      <c r="M161" s="61"/>
      <c r="N161" s="139"/>
      <c r="O161" s="68" t="str">
        <f t="shared" ref="O161:O168" si="111">IF(N161=0,"0",N161/J161)</f>
        <v>0</v>
      </c>
      <c r="P161" s="68" t="str">
        <f t="shared" ref="P161:P168" si="112">IF(G161=0,"0",J161/G161)</f>
        <v>0</v>
      </c>
    </row>
    <row r="162" spans="1:16" s="6" customFormat="1" ht="15.75" customHeight="1">
      <c r="A162" s="289"/>
      <c r="B162" s="67"/>
      <c r="C162" s="157"/>
      <c r="D162" s="162" t="s">
        <v>17</v>
      </c>
      <c r="E162" s="162" t="s">
        <v>297</v>
      </c>
      <c r="F162" s="67" t="s">
        <v>299</v>
      </c>
      <c r="G162" s="167"/>
      <c r="H162" s="72"/>
      <c r="I162" s="170"/>
      <c r="J162" s="167"/>
      <c r="K162" s="72"/>
      <c r="L162" s="72"/>
      <c r="M162" s="72"/>
      <c r="N162" s="139"/>
      <c r="O162" s="68" t="str">
        <f t="shared" si="111"/>
        <v>0</v>
      </c>
      <c r="P162" s="68" t="str">
        <f t="shared" si="112"/>
        <v>0</v>
      </c>
    </row>
    <row r="163" spans="1:16" ht="19.5" customHeight="1">
      <c r="A163" s="289"/>
      <c r="B163" s="67"/>
      <c r="C163" s="157"/>
      <c r="D163" s="162" t="s">
        <v>65</v>
      </c>
      <c r="E163" s="162" t="s">
        <v>297</v>
      </c>
      <c r="F163" s="67" t="s">
        <v>300</v>
      </c>
      <c r="G163" s="167"/>
      <c r="H163" s="67"/>
      <c r="I163" s="170"/>
      <c r="J163" s="167"/>
      <c r="K163" s="61"/>
      <c r="L163" s="61"/>
      <c r="M163" s="61"/>
      <c r="N163" s="139"/>
      <c r="O163" s="68" t="str">
        <f t="shared" si="111"/>
        <v>0</v>
      </c>
      <c r="P163" s="68" t="str">
        <f t="shared" si="112"/>
        <v>0</v>
      </c>
    </row>
    <row r="164" spans="1:16" ht="18.75" customHeight="1">
      <c r="A164" s="289"/>
      <c r="B164" s="148">
        <v>4</v>
      </c>
      <c r="C164" s="67"/>
      <c r="D164" s="286" t="s">
        <v>87</v>
      </c>
      <c r="E164" s="286"/>
      <c r="F164" s="67">
        <f>F160+1</f>
        <v>148</v>
      </c>
      <c r="G164" s="169">
        <v>21</v>
      </c>
      <c r="H164" s="163"/>
      <c r="I164" s="172">
        <v>24</v>
      </c>
      <c r="J164" s="169">
        <v>22</v>
      </c>
      <c r="K164" s="74">
        <v>21</v>
      </c>
      <c r="L164" s="74">
        <v>24</v>
      </c>
      <c r="M164" s="74">
        <v>24</v>
      </c>
      <c r="N164" s="141">
        <v>23</v>
      </c>
      <c r="O164" s="68">
        <f t="shared" si="111"/>
        <v>1.0454545454545454</v>
      </c>
      <c r="P164" s="68">
        <f t="shared" si="112"/>
        <v>1.0476190476190477</v>
      </c>
    </row>
    <row r="165" spans="1:16" ht="21.75" customHeight="1">
      <c r="A165" s="289"/>
      <c r="B165" s="148">
        <v>5</v>
      </c>
      <c r="C165" s="67"/>
      <c r="D165" s="286" t="s">
        <v>301</v>
      </c>
      <c r="E165" s="286"/>
      <c r="F165" s="67">
        <f t="shared" si="105"/>
        <v>149</v>
      </c>
      <c r="G165" s="169">
        <v>21</v>
      </c>
      <c r="H165" s="72"/>
      <c r="I165" s="172">
        <v>24</v>
      </c>
      <c r="J165" s="169">
        <v>22</v>
      </c>
      <c r="K165" s="164">
        <v>21</v>
      </c>
      <c r="L165" s="164">
        <v>24</v>
      </c>
      <c r="M165" s="164">
        <v>24</v>
      </c>
      <c r="N165" s="141">
        <v>23</v>
      </c>
      <c r="O165" s="68">
        <f t="shared" si="111"/>
        <v>1.0454545454545454</v>
      </c>
      <c r="P165" s="68">
        <f t="shared" si="112"/>
        <v>1.0476190476190477</v>
      </c>
    </row>
    <row r="166" spans="1:16" ht="36" customHeight="1">
      <c r="A166" s="289"/>
      <c r="B166" s="148">
        <v>6</v>
      </c>
      <c r="C166" s="67" t="s">
        <v>15</v>
      </c>
      <c r="D166" s="286" t="s">
        <v>302</v>
      </c>
      <c r="E166" s="244"/>
      <c r="F166" s="67">
        <f t="shared" si="105"/>
        <v>150</v>
      </c>
      <c r="G166" s="167">
        <f>(G160/G165)/12*1000</f>
        <v>7305.2777777777774</v>
      </c>
      <c r="H166" s="72"/>
      <c r="I166" s="170">
        <f>(I160/I165)/12*1000</f>
        <v>10257.6875</v>
      </c>
      <c r="J166" s="167">
        <f>(J160/J165)/12*1000</f>
        <v>10105.477272727274</v>
      </c>
      <c r="K166" s="72">
        <f t="shared" ref="K166:M166" si="113">(K160/K165)/12*1000</f>
        <v>3488.5109126984125</v>
      </c>
      <c r="L166" s="72">
        <f t="shared" si="113"/>
        <v>4964.4774305555557</v>
      </c>
      <c r="M166" s="72">
        <f t="shared" si="113"/>
        <v>7446.7161458333339</v>
      </c>
      <c r="N166" s="139">
        <f>(N160/N165)/12*1000</f>
        <v>11077.39492753623</v>
      </c>
      <c r="O166" s="68">
        <f t="shared" si="111"/>
        <v>1.0961773134092314</v>
      </c>
      <c r="P166" s="69">
        <f t="shared" si="112"/>
        <v>1.3833118438654772</v>
      </c>
    </row>
    <row r="167" spans="1:16" ht="33.75" customHeight="1">
      <c r="A167" s="289"/>
      <c r="B167" s="148"/>
      <c r="C167" s="67" t="s">
        <v>17</v>
      </c>
      <c r="D167" s="286" t="s">
        <v>303</v>
      </c>
      <c r="E167" s="244"/>
      <c r="F167" s="67">
        <f t="shared" si="105"/>
        <v>151</v>
      </c>
      <c r="G167" s="167">
        <f>(G160/G165)/12*1000</f>
        <v>7305.2777777777774</v>
      </c>
      <c r="H167" s="67"/>
      <c r="I167" s="170">
        <f t="shared" ref="I167" si="114">(I160/I165)/12*1000</f>
        <v>10257.6875</v>
      </c>
      <c r="J167" s="167">
        <f>(J160/J165)/12*1000</f>
        <v>10105.477272727274</v>
      </c>
      <c r="K167" s="72">
        <f t="shared" ref="K167:N167" si="115">(K160/K165)/12*1000</f>
        <v>3488.5109126984125</v>
      </c>
      <c r="L167" s="72">
        <f t="shared" si="115"/>
        <v>4964.4774305555557</v>
      </c>
      <c r="M167" s="72">
        <f t="shared" si="115"/>
        <v>7446.7161458333339</v>
      </c>
      <c r="N167" s="139">
        <f t="shared" si="115"/>
        <v>11077.39492753623</v>
      </c>
      <c r="O167" s="68">
        <f t="shared" si="111"/>
        <v>1.0961773134092314</v>
      </c>
      <c r="P167" s="69">
        <f t="shared" si="112"/>
        <v>1.3833118438654772</v>
      </c>
    </row>
    <row r="168" spans="1:16" ht="36" customHeight="1">
      <c r="A168" s="289"/>
      <c r="B168" s="148"/>
      <c r="C168" s="67" t="s">
        <v>65</v>
      </c>
      <c r="D168" s="286" t="s">
        <v>304</v>
      </c>
      <c r="E168" s="244"/>
      <c r="F168" s="67">
        <f t="shared" si="105"/>
        <v>152</v>
      </c>
      <c r="G168" s="167"/>
      <c r="H168" s="67"/>
      <c r="I168" s="170"/>
      <c r="J168" s="167"/>
      <c r="K168" s="61"/>
      <c r="L168" s="61"/>
      <c r="M168" s="61"/>
      <c r="N168" s="139"/>
      <c r="O168" s="68" t="str">
        <f t="shared" si="111"/>
        <v>0</v>
      </c>
      <c r="P168" s="68" t="str">
        <f t="shared" si="112"/>
        <v>0</v>
      </c>
    </row>
    <row r="169" spans="1:16" ht="33" customHeight="1">
      <c r="A169" s="289"/>
      <c r="B169" s="148">
        <v>7</v>
      </c>
      <c r="C169" s="67" t="s">
        <v>15</v>
      </c>
      <c r="D169" s="286" t="s">
        <v>305</v>
      </c>
      <c r="E169" s="286"/>
      <c r="F169" s="67">
        <f t="shared" si="105"/>
        <v>153</v>
      </c>
      <c r="G169" s="167">
        <f t="shared" ref="G169" si="116">G14/G165</f>
        <v>226.32995238095242</v>
      </c>
      <c r="H169" s="72"/>
      <c r="I169" s="170">
        <f t="shared" ref="I169:J169" si="117">I14/I165</f>
        <v>230.66666666666666</v>
      </c>
      <c r="J169" s="167">
        <f t="shared" si="117"/>
        <v>263.93654545454541</v>
      </c>
      <c r="K169" s="72">
        <f t="shared" ref="K169:P169" si="118">K14/K165</f>
        <v>69.569761904761918</v>
      </c>
      <c r="L169" s="72">
        <f t="shared" si="118"/>
        <v>121.87208333333335</v>
      </c>
      <c r="M169" s="72">
        <f t="shared" si="118"/>
        <v>182.80812499999999</v>
      </c>
      <c r="N169" s="139">
        <f t="shared" si="118"/>
        <v>254.08086956521743</v>
      </c>
      <c r="O169" s="72">
        <f t="shared" si="118"/>
        <v>0.96265891912635748</v>
      </c>
      <c r="P169" s="72">
        <f t="shared" si="118"/>
        <v>1.1661582688370586</v>
      </c>
    </row>
    <row r="170" spans="1:16" ht="31.5" customHeight="1">
      <c r="A170" s="289"/>
      <c r="B170" s="285"/>
      <c r="C170" s="67" t="s">
        <v>17</v>
      </c>
      <c r="D170" s="286" t="s">
        <v>306</v>
      </c>
      <c r="E170" s="286"/>
      <c r="F170" s="67">
        <f t="shared" si="105"/>
        <v>154</v>
      </c>
      <c r="G170" s="167"/>
      <c r="H170" s="67"/>
      <c r="I170" s="170"/>
      <c r="J170" s="167"/>
      <c r="K170" s="61"/>
      <c r="L170" s="61"/>
      <c r="M170" s="61"/>
      <c r="N170" s="139"/>
      <c r="O170" s="68" t="str">
        <f t="shared" ref="O170:O182" si="119">IF(N170=0,"0",N170/J170)</f>
        <v>0</v>
      </c>
      <c r="P170" s="68" t="str">
        <f t="shared" ref="P170:P182" si="120">IF(G170=0,"0",J170/G170)</f>
        <v>0</v>
      </c>
    </row>
    <row r="171" spans="1:16" ht="30.75" customHeight="1">
      <c r="A171" s="289"/>
      <c r="B171" s="285"/>
      <c r="C171" s="67" t="s">
        <v>65</v>
      </c>
      <c r="D171" s="293" t="s">
        <v>307</v>
      </c>
      <c r="E171" s="293"/>
      <c r="F171" s="67">
        <f t="shared" si="105"/>
        <v>155</v>
      </c>
      <c r="G171" s="167"/>
      <c r="H171" s="67"/>
      <c r="I171" s="170"/>
      <c r="J171" s="167"/>
      <c r="K171" s="61"/>
      <c r="L171" s="61"/>
      <c r="M171" s="61"/>
      <c r="N171" s="139"/>
      <c r="O171" s="68" t="str">
        <f t="shared" si="119"/>
        <v>0</v>
      </c>
      <c r="P171" s="68" t="str">
        <f t="shared" si="120"/>
        <v>0</v>
      </c>
    </row>
    <row r="172" spans="1:16" ht="23.25" customHeight="1">
      <c r="A172" s="289"/>
      <c r="B172" s="285"/>
      <c r="C172" s="67" t="s">
        <v>134</v>
      </c>
      <c r="D172" s="286" t="s">
        <v>308</v>
      </c>
      <c r="E172" s="286"/>
      <c r="F172" s="67">
        <f t="shared" si="105"/>
        <v>156</v>
      </c>
      <c r="G172" s="167"/>
      <c r="H172" s="67"/>
      <c r="I172" s="170"/>
      <c r="J172" s="167"/>
      <c r="K172" s="61"/>
      <c r="L172" s="61"/>
      <c r="M172" s="61"/>
      <c r="N172" s="139"/>
      <c r="O172" s="68" t="str">
        <f t="shared" si="119"/>
        <v>0</v>
      </c>
      <c r="P172" s="69" t="str">
        <f t="shared" si="120"/>
        <v>0</v>
      </c>
    </row>
    <row r="173" spans="1:16" ht="19.5" customHeight="1">
      <c r="A173" s="289"/>
      <c r="B173" s="285"/>
      <c r="C173" s="285"/>
      <c r="D173" s="286"/>
      <c r="E173" s="148" t="s">
        <v>309</v>
      </c>
      <c r="F173" s="67">
        <f t="shared" si="105"/>
        <v>157</v>
      </c>
      <c r="G173" s="167"/>
      <c r="H173" s="67"/>
      <c r="I173" s="170"/>
      <c r="J173" s="167"/>
      <c r="K173" s="61"/>
      <c r="L173" s="61"/>
      <c r="M173" s="61"/>
      <c r="N173" s="139"/>
      <c r="O173" s="68" t="str">
        <f t="shared" si="119"/>
        <v>0</v>
      </c>
      <c r="P173" s="69" t="str">
        <f t="shared" si="120"/>
        <v>0</v>
      </c>
    </row>
    <row r="174" spans="1:16" ht="22.5" customHeight="1">
      <c r="A174" s="289"/>
      <c r="B174" s="285"/>
      <c r="C174" s="285"/>
      <c r="D174" s="286"/>
      <c r="E174" s="148" t="s">
        <v>310</v>
      </c>
      <c r="F174" s="67">
        <f t="shared" si="105"/>
        <v>158</v>
      </c>
      <c r="G174" s="167"/>
      <c r="H174" s="67"/>
      <c r="I174" s="170"/>
      <c r="J174" s="167"/>
      <c r="K174" s="61"/>
      <c r="L174" s="61"/>
      <c r="M174" s="61"/>
      <c r="N174" s="139"/>
      <c r="O174" s="68" t="str">
        <f t="shared" si="119"/>
        <v>0</v>
      </c>
      <c r="P174" s="69" t="str">
        <f t="shared" si="120"/>
        <v>0</v>
      </c>
    </row>
    <row r="175" spans="1:16" ht="21" customHeight="1">
      <c r="A175" s="289"/>
      <c r="B175" s="285"/>
      <c r="C175" s="285"/>
      <c r="D175" s="286"/>
      <c r="E175" s="148" t="s">
        <v>311</v>
      </c>
      <c r="F175" s="67">
        <f t="shared" si="105"/>
        <v>159</v>
      </c>
      <c r="G175" s="167"/>
      <c r="H175" s="67"/>
      <c r="I175" s="170"/>
      <c r="J175" s="167"/>
      <c r="K175" s="61"/>
      <c r="L175" s="61"/>
      <c r="M175" s="61"/>
      <c r="N175" s="139"/>
      <c r="O175" s="68" t="str">
        <f t="shared" si="119"/>
        <v>0</v>
      </c>
      <c r="P175" s="69" t="str">
        <f t="shared" si="120"/>
        <v>0</v>
      </c>
    </row>
    <row r="176" spans="1:16" ht="23.25" customHeight="1">
      <c r="A176" s="289"/>
      <c r="B176" s="285"/>
      <c r="C176" s="285"/>
      <c r="D176" s="286"/>
      <c r="E176" s="148" t="s">
        <v>312</v>
      </c>
      <c r="F176" s="67">
        <f t="shared" si="105"/>
        <v>160</v>
      </c>
      <c r="G176" s="167"/>
      <c r="H176" s="67"/>
      <c r="I176" s="170"/>
      <c r="J176" s="167"/>
      <c r="K176" s="61"/>
      <c r="L176" s="61"/>
      <c r="M176" s="61"/>
      <c r="N176" s="139"/>
      <c r="O176" s="68" t="str">
        <f t="shared" si="119"/>
        <v>0</v>
      </c>
      <c r="P176" s="69" t="str">
        <f t="shared" si="120"/>
        <v>0</v>
      </c>
    </row>
    <row r="177" spans="1:16" ht="24" customHeight="1">
      <c r="A177" s="289"/>
      <c r="B177" s="14">
        <v>8</v>
      </c>
      <c r="C177" s="14"/>
      <c r="D177" s="293" t="s">
        <v>313</v>
      </c>
      <c r="E177" s="293"/>
      <c r="F177" s="67">
        <f t="shared" si="105"/>
        <v>161</v>
      </c>
      <c r="G177" s="167"/>
      <c r="H177" s="67"/>
      <c r="I177" s="170"/>
      <c r="J177" s="167"/>
      <c r="K177" s="61"/>
      <c r="L177" s="61"/>
      <c r="M177" s="61"/>
      <c r="N177" s="139"/>
      <c r="O177" s="68" t="str">
        <f t="shared" si="119"/>
        <v>0</v>
      </c>
      <c r="P177" s="69" t="str">
        <f t="shared" si="120"/>
        <v>0</v>
      </c>
    </row>
    <row r="178" spans="1:16" ht="20.25" customHeight="1">
      <c r="A178" s="289"/>
      <c r="B178" s="14">
        <v>9</v>
      </c>
      <c r="C178" s="14"/>
      <c r="D178" s="293" t="s">
        <v>314</v>
      </c>
      <c r="E178" s="293"/>
      <c r="F178" s="67">
        <f t="shared" si="105"/>
        <v>162</v>
      </c>
      <c r="G178" s="167"/>
      <c r="H178" s="67"/>
      <c r="I178" s="170"/>
      <c r="J178" s="167"/>
      <c r="K178" s="61"/>
      <c r="L178" s="61"/>
      <c r="M178" s="61"/>
      <c r="N178" s="139"/>
      <c r="O178" s="68" t="str">
        <f t="shared" si="119"/>
        <v>0</v>
      </c>
      <c r="P178" s="69" t="str">
        <f t="shared" si="120"/>
        <v>0</v>
      </c>
    </row>
    <row r="179" spans="1:16" ht="19.5" customHeight="1">
      <c r="A179" s="289"/>
      <c r="B179" s="295"/>
      <c r="C179" s="14"/>
      <c r="D179" s="148"/>
      <c r="E179" s="148" t="s">
        <v>315</v>
      </c>
      <c r="F179" s="67">
        <f t="shared" si="105"/>
        <v>163</v>
      </c>
      <c r="G179" s="167"/>
      <c r="H179" s="67"/>
      <c r="I179" s="170"/>
      <c r="J179" s="167"/>
      <c r="K179" s="61"/>
      <c r="L179" s="61"/>
      <c r="M179" s="61"/>
      <c r="N179" s="139"/>
      <c r="O179" s="68" t="str">
        <f t="shared" si="119"/>
        <v>0</v>
      </c>
      <c r="P179" s="69" t="str">
        <f t="shared" si="120"/>
        <v>0</v>
      </c>
    </row>
    <row r="180" spans="1:16" ht="17.25" customHeight="1">
      <c r="A180" s="289"/>
      <c r="B180" s="295"/>
      <c r="C180" s="14"/>
      <c r="D180" s="148"/>
      <c r="E180" s="148" t="s">
        <v>316</v>
      </c>
      <c r="F180" s="67">
        <f t="shared" si="105"/>
        <v>164</v>
      </c>
      <c r="G180" s="167"/>
      <c r="H180" s="67"/>
      <c r="I180" s="170"/>
      <c r="J180" s="167"/>
      <c r="K180" s="61"/>
      <c r="L180" s="61"/>
      <c r="M180" s="61"/>
      <c r="N180" s="139"/>
      <c r="O180" s="68" t="str">
        <f t="shared" si="119"/>
        <v>0</v>
      </c>
      <c r="P180" s="69" t="str">
        <f t="shared" si="120"/>
        <v>0</v>
      </c>
    </row>
    <row r="181" spans="1:16" ht="20.25" customHeight="1">
      <c r="A181" s="289"/>
      <c r="B181" s="295"/>
      <c r="C181" s="14"/>
      <c r="D181" s="148"/>
      <c r="E181" s="148" t="s">
        <v>317</v>
      </c>
      <c r="F181" s="67">
        <f t="shared" si="105"/>
        <v>165</v>
      </c>
      <c r="G181" s="167"/>
      <c r="H181" s="67"/>
      <c r="I181" s="170"/>
      <c r="J181" s="167"/>
      <c r="K181" s="61"/>
      <c r="L181" s="61"/>
      <c r="M181" s="61"/>
      <c r="N181" s="139"/>
      <c r="O181" s="68" t="str">
        <f t="shared" si="119"/>
        <v>0</v>
      </c>
      <c r="P181" s="69" t="str">
        <f t="shared" si="120"/>
        <v>0</v>
      </c>
    </row>
    <row r="182" spans="1:16" ht="18.75" customHeight="1">
      <c r="A182" s="289"/>
      <c r="B182" s="295"/>
      <c r="C182" s="14"/>
      <c r="D182" s="148"/>
      <c r="E182" s="148" t="s">
        <v>318</v>
      </c>
      <c r="F182" s="67">
        <f t="shared" si="105"/>
        <v>166</v>
      </c>
      <c r="G182" s="167"/>
      <c r="H182" s="67"/>
      <c r="I182" s="170"/>
      <c r="J182" s="167"/>
      <c r="K182" s="61"/>
      <c r="L182" s="61"/>
      <c r="M182" s="61"/>
      <c r="N182" s="139"/>
      <c r="O182" s="68" t="str">
        <f t="shared" si="119"/>
        <v>0</v>
      </c>
      <c r="P182" s="69" t="str">
        <f t="shared" si="120"/>
        <v>0</v>
      </c>
    </row>
    <row r="183" spans="1:16">
      <c r="A183" s="289"/>
      <c r="B183" s="295"/>
      <c r="C183" s="14"/>
      <c r="D183" s="148"/>
      <c r="E183" s="148" t="s">
        <v>319</v>
      </c>
      <c r="F183" s="67">
        <f t="shared" si="105"/>
        <v>167</v>
      </c>
      <c r="G183" s="167"/>
      <c r="H183" s="67"/>
      <c r="I183" s="170"/>
      <c r="J183" s="167"/>
      <c r="K183" s="61"/>
      <c r="L183" s="61"/>
      <c r="M183" s="61"/>
      <c r="N183" s="139"/>
      <c r="O183" s="68"/>
      <c r="P183" s="69"/>
    </row>
    <row r="184" spans="1:16">
      <c r="A184" s="289"/>
      <c r="B184" s="14">
        <v>10</v>
      </c>
      <c r="C184" s="14"/>
      <c r="D184" s="293" t="s">
        <v>320</v>
      </c>
      <c r="E184" s="293"/>
      <c r="F184" s="67">
        <f t="shared" si="105"/>
        <v>168</v>
      </c>
      <c r="G184" s="167"/>
      <c r="H184" s="67"/>
      <c r="I184" s="170"/>
      <c r="J184" s="167"/>
      <c r="K184" s="61"/>
      <c r="L184" s="61"/>
      <c r="M184" s="61"/>
      <c r="N184" s="139"/>
      <c r="O184" s="68"/>
      <c r="P184" s="69"/>
    </row>
    <row r="185" spans="1:16">
      <c r="A185" s="289"/>
      <c r="B185" s="14">
        <v>11</v>
      </c>
      <c r="C185" s="14"/>
      <c r="D185" s="293" t="s">
        <v>321</v>
      </c>
      <c r="E185" s="293"/>
      <c r="F185" s="67">
        <f t="shared" si="105"/>
        <v>169</v>
      </c>
      <c r="G185" s="167"/>
      <c r="H185" s="67"/>
      <c r="I185" s="170"/>
      <c r="J185" s="167"/>
      <c r="K185" s="61"/>
      <c r="L185" s="61"/>
      <c r="M185" s="61"/>
      <c r="N185" s="139"/>
      <c r="O185" s="68"/>
      <c r="P185" s="69"/>
    </row>
    <row r="186" spans="1:16">
      <c r="A186" s="289"/>
      <c r="B186" s="14"/>
      <c r="C186" s="14"/>
      <c r="D186" s="67"/>
      <c r="E186" s="161" t="s">
        <v>322</v>
      </c>
      <c r="F186" s="67">
        <f t="shared" si="105"/>
        <v>170</v>
      </c>
      <c r="G186" s="167"/>
      <c r="H186" s="67"/>
      <c r="I186" s="170"/>
      <c r="J186" s="167"/>
      <c r="K186" s="61"/>
      <c r="L186" s="61"/>
      <c r="M186" s="61"/>
      <c r="N186" s="139"/>
      <c r="O186" s="68"/>
      <c r="P186" s="69"/>
    </row>
    <row r="187" spans="1:16">
      <c r="A187" s="289"/>
      <c r="B187" s="14"/>
      <c r="C187" s="14"/>
      <c r="D187" s="67"/>
      <c r="E187" s="161" t="s">
        <v>323</v>
      </c>
      <c r="F187" s="67">
        <f t="shared" si="105"/>
        <v>171</v>
      </c>
      <c r="G187" s="167"/>
      <c r="H187" s="67"/>
      <c r="I187" s="170"/>
      <c r="J187" s="167"/>
      <c r="K187" s="61"/>
      <c r="L187" s="61"/>
      <c r="M187" s="61"/>
      <c r="N187" s="139"/>
      <c r="O187" s="68"/>
      <c r="P187" s="69"/>
    </row>
    <row r="188" spans="1:16" ht="15.75" customHeight="1">
      <c r="G188" s="2"/>
      <c r="I188" s="2"/>
      <c r="J188" s="2"/>
      <c r="M188" s="2"/>
      <c r="N188" s="2"/>
      <c r="P188" s="2"/>
    </row>
    <row r="189" spans="1:16" ht="15">
      <c r="A189" s="223" t="s">
        <v>97</v>
      </c>
      <c r="B189" s="223"/>
      <c r="C189" s="223"/>
      <c r="D189" s="223"/>
      <c r="E189" s="223"/>
      <c r="F189" s="223"/>
      <c r="G189" s="223" t="s">
        <v>324</v>
      </c>
      <c r="H189" s="223"/>
      <c r="I189" s="223"/>
      <c r="J189" s="223"/>
      <c r="K189" s="223"/>
      <c r="L189" s="223"/>
      <c r="M189" s="223"/>
      <c r="N189" s="2"/>
      <c r="P189" s="2"/>
    </row>
    <row r="190" spans="1:16" ht="18.75" customHeight="1">
      <c r="A190" s="263" t="s">
        <v>436</v>
      </c>
      <c r="B190" s="263"/>
      <c r="C190" s="263"/>
      <c r="D190" s="263"/>
      <c r="E190" s="263"/>
      <c r="F190" s="215"/>
      <c r="G190" s="223" t="s">
        <v>439</v>
      </c>
      <c r="H190" s="223"/>
      <c r="I190" s="223"/>
      <c r="J190" s="223"/>
      <c r="K190" s="223"/>
      <c r="L190" s="223"/>
      <c r="M190" s="223"/>
      <c r="N190" s="2"/>
      <c r="P190" s="2"/>
    </row>
    <row r="191" spans="1:16" ht="18.75" customHeight="1">
      <c r="A191" s="263" t="s">
        <v>100</v>
      </c>
      <c r="B191" s="263"/>
      <c r="C191" s="263"/>
      <c r="D191" s="263"/>
      <c r="E191" s="263"/>
      <c r="F191" s="215"/>
      <c r="G191" s="263" t="s">
        <v>101</v>
      </c>
      <c r="H191" s="263"/>
      <c r="I191" s="263"/>
      <c r="J191" s="263"/>
      <c r="K191" s="263"/>
      <c r="L191" s="263"/>
      <c r="M191" s="263"/>
      <c r="N191" s="215"/>
      <c r="O191" s="4"/>
      <c r="P191" s="2"/>
    </row>
  </sheetData>
  <mergeCells count="157">
    <mergeCell ref="A189:F189"/>
    <mergeCell ref="D177:E177"/>
    <mergeCell ref="D178:E178"/>
    <mergeCell ref="B179:B183"/>
    <mergeCell ref="D184:E184"/>
    <mergeCell ref="D185:E185"/>
    <mergeCell ref="A191:E191"/>
    <mergeCell ref="A190:E190"/>
    <mergeCell ref="G189:M189"/>
    <mergeCell ref="G190:M190"/>
    <mergeCell ref="G191:M191"/>
    <mergeCell ref="D150:E150"/>
    <mergeCell ref="D153:E153"/>
    <mergeCell ref="D154:E154"/>
    <mergeCell ref="A155:A187"/>
    <mergeCell ref="D155:E155"/>
    <mergeCell ref="D158:E158"/>
    <mergeCell ref="D160:E160"/>
    <mergeCell ref="D164:E164"/>
    <mergeCell ref="D165:E165"/>
    <mergeCell ref="D166:E166"/>
    <mergeCell ref="D167:E167"/>
    <mergeCell ref="D168:E168"/>
    <mergeCell ref="D169:E169"/>
    <mergeCell ref="B170:B176"/>
    <mergeCell ref="D170:E170"/>
    <mergeCell ref="D171:E171"/>
    <mergeCell ref="D172:E172"/>
    <mergeCell ref="C173:C176"/>
    <mergeCell ref="D173:D176"/>
    <mergeCell ref="B143:B149"/>
    <mergeCell ref="D143:E143"/>
    <mergeCell ref="C144:C145"/>
    <mergeCell ref="D146:E146"/>
    <mergeCell ref="C147:C148"/>
    <mergeCell ref="D149:E149"/>
    <mergeCell ref="D131:E131"/>
    <mergeCell ref="D132:E132"/>
    <mergeCell ref="D133:E133"/>
    <mergeCell ref="C134:C141"/>
    <mergeCell ref="D139:D141"/>
    <mergeCell ref="D142:E142"/>
    <mergeCell ref="C125:E125"/>
    <mergeCell ref="D126:E126"/>
    <mergeCell ref="D127:E127"/>
    <mergeCell ref="D128:E128"/>
    <mergeCell ref="D129:E129"/>
    <mergeCell ref="D130:E130"/>
    <mergeCell ref="C116:C123"/>
    <mergeCell ref="D116:E116"/>
    <mergeCell ref="D119:E119"/>
    <mergeCell ref="D122:E122"/>
    <mergeCell ref="D123:E123"/>
    <mergeCell ref="D124:E124"/>
    <mergeCell ref="D111:E111"/>
    <mergeCell ref="C112:C114"/>
    <mergeCell ref="D112:E112"/>
    <mergeCell ref="D113:E113"/>
    <mergeCell ref="D114:E114"/>
    <mergeCell ref="D115:E115"/>
    <mergeCell ref="D103:E103"/>
    <mergeCell ref="C104:C110"/>
    <mergeCell ref="D104:E104"/>
    <mergeCell ref="D105:D106"/>
    <mergeCell ref="D107:E107"/>
    <mergeCell ref="D108:E108"/>
    <mergeCell ref="D109:E109"/>
    <mergeCell ref="D110:E110"/>
    <mergeCell ref="C97:E97"/>
    <mergeCell ref="D98:E98"/>
    <mergeCell ref="D99:E99"/>
    <mergeCell ref="D100:E100"/>
    <mergeCell ref="C101:C102"/>
    <mergeCell ref="D101:E101"/>
    <mergeCell ref="D102:E102"/>
    <mergeCell ref="D91:E91"/>
    <mergeCell ref="D92:E92"/>
    <mergeCell ref="D93:E93"/>
    <mergeCell ref="D94:E94"/>
    <mergeCell ref="D95:E95"/>
    <mergeCell ref="D96:E96"/>
    <mergeCell ref="D79:E79"/>
    <mergeCell ref="D80:E80"/>
    <mergeCell ref="C81:C88"/>
    <mergeCell ref="D89:E89"/>
    <mergeCell ref="C90:E90"/>
    <mergeCell ref="D68:E68"/>
    <mergeCell ref="C69:C72"/>
    <mergeCell ref="D73:E73"/>
    <mergeCell ref="D74:E74"/>
    <mergeCell ref="C75:C77"/>
    <mergeCell ref="D75:E75"/>
    <mergeCell ref="D76:E76"/>
    <mergeCell ref="D77:E77"/>
    <mergeCell ref="B40:E40"/>
    <mergeCell ref="A41:A149"/>
    <mergeCell ref="C41:E41"/>
    <mergeCell ref="B42:B141"/>
    <mergeCell ref="C42:E42"/>
    <mergeCell ref="D43:E43"/>
    <mergeCell ref="D44:E44"/>
    <mergeCell ref="D45:E45"/>
    <mergeCell ref="C46:C47"/>
    <mergeCell ref="D48:E48"/>
    <mergeCell ref="D56:E56"/>
    <mergeCell ref="D57:E57"/>
    <mergeCell ref="D58:E58"/>
    <mergeCell ref="D59:E59"/>
    <mergeCell ref="D61:E61"/>
    <mergeCell ref="C62:C67"/>
    <mergeCell ref="D65:D67"/>
    <mergeCell ref="D49:E49"/>
    <mergeCell ref="D50:E50"/>
    <mergeCell ref="D51:E51"/>
    <mergeCell ref="D52:E52"/>
    <mergeCell ref="D53:E53"/>
    <mergeCell ref="C54:C55"/>
    <mergeCell ref="D78:E78"/>
    <mergeCell ref="B12:C12"/>
    <mergeCell ref="D12:E12"/>
    <mergeCell ref="D13:E13"/>
    <mergeCell ref="A14:A39"/>
    <mergeCell ref="D14:E14"/>
    <mergeCell ref="B15:B33"/>
    <mergeCell ref="D15:E15"/>
    <mergeCell ref="C16:C19"/>
    <mergeCell ref="D20:E20"/>
    <mergeCell ref="D21:E21"/>
    <mergeCell ref="B35:B39"/>
    <mergeCell ref="D35:E35"/>
    <mergeCell ref="D36:E36"/>
    <mergeCell ref="D37:E37"/>
    <mergeCell ref="D38:E38"/>
    <mergeCell ref="D39:E39"/>
    <mergeCell ref="C22:C23"/>
    <mergeCell ref="D24:E24"/>
    <mergeCell ref="D25:E25"/>
    <mergeCell ref="D26:E26"/>
    <mergeCell ref="C27:C33"/>
    <mergeCell ref="D34:E34"/>
    <mergeCell ref="H9:I9"/>
    <mergeCell ref="J9:J11"/>
    <mergeCell ref="K1:P1"/>
    <mergeCell ref="K2:P2"/>
    <mergeCell ref="K3:P3"/>
    <mergeCell ref="A5:P6"/>
    <mergeCell ref="A7:P7"/>
    <mergeCell ref="O9:O10"/>
    <mergeCell ref="P9:P10"/>
    <mergeCell ref="H10:I10"/>
    <mergeCell ref="A9:C11"/>
    <mergeCell ref="D9:E11"/>
    <mergeCell ref="F9:F11"/>
    <mergeCell ref="G9:G10"/>
    <mergeCell ref="A8:P8"/>
    <mergeCell ref="K9:N9"/>
    <mergeCell ref="K10:N10"/>
  </mergeCells>
  <printOptions horizontalCentered="1" verticalCentered="1"/>
  <pageMargins left="0" right="0" top="0" bottom="0" header="0" footer="0"/>
  <pageSetup paperSize="9" scale="58" orientation="landscape" r:id="rId1"/>
  <headerFooter>
    <oddFooter>Pagina &amp;P</oddFooter>
  </headerFooter>
  <rowBreaks count="6" manualBreakCount="6">
    <brk id="39" max="16383" man="1"/>
    <brk id="67" max="16383" man="1"/>
    <brk id="96" max="16383" man="1"/>
    <brk id="124" max="16383" man="1"/>
    <brk id="149" max="16383" man="1"/>
    <brk id="168" max="1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J21"/>
  <sheetViews>
    <sheetView view="pageBreakPreview" zoomScale="60" zoomScaleNormal="100" workbookViewId="0">
      <selection activeCell="E46" sqref="E46"/>
    </sheetView>
  </sheetViews>
  <sheetFormatPr defaultRowHeight="15"/>
  <cols>
    <col min="1" max="1" width="9.140625" style="2"/>
    <col min="2" max="2" width="36.140625" style="2" customWidth="1"/>
    <col min="3" max="3" width="20.140625" style="2" customWidth="1"/>
    <col min="4" max="4" width="15.42578125" style="2" customWidth="1"/>
    <col min="5" max="5" width="11.5703125" style="2" customWidth="1"/>
    <col min="6" max="6" width="16.7109375" style="2" customWidth="1"/>
    <col min="7" max="7" width="16.5703125" style="2" customWidth="1"/>
    <col min="8" max="8" width="10.5703125" style="2" customWidth="1"/>
    <col min="9" max="257" width="9.140625" style="2"/>
    <col min="258" max="258" width="27.28515625" style="2" customWidth="1"/>
    <col min="259" max="259" width="14.42578125" style="2" customWidth="1"/>
    <col min="260" max="260" width="15.42578125" style="2" customWidth="1"/>
    <col min="261" max="261" width="11.5703125" style="2" customWidth="1"/>
    <col min="262" max="262" width="14.85546875" style="2" customWidth="1"/>
    <col min="263" max="263" width="13.7109375" style="2" customWidth="1"/>
    <col min="264" max="264" width="10.5703125" style="2" customWidth="1"/>
    <col min="265" max="513" width="9.140625" style="2"/>
    <col min="514" max="514" width="27.28515625" style="2" customWidth="1"/>
    <col min="515" max="515" width="14.42578125" style="2" customWidth="1"/>
    <col min="516" max="516" width="15.42578125" style="2" customWidth="1"/>
    <col min="517" max="517" width="11.5703125" style="2" customWidth="1"/>
    <col min="518" max="518" width="14.85546875" style="2" customWidth="1"/>
    <col min="519" max="519" width="13.7109375" style="2" customWidth="1"/>
    <col min="520" max="520" width="10.5703125" style="2" customWidth="1"/>
    <col min="521" max="769" width="9.140625" style="2"/>
    <col min="770" max="770" width="27.28515625" style="2" customWidth="1"/>
    <col min="771" max="771" width="14.42578125" style="2" customWidth="1"/>
    <col min="772" max="772" width="15.42578125" style="2" customWidth="1"/>
    <col min="773" max="773" width="11.5703125" style="2" customWidth="1"/>
    <col min="774" max="774" width="14.85546875" style="2" customWidth="1"/>
    <col min="775" max="775" width="13.7109375" style="2" customWidth="1"/>
    <col min="776" max="776" width="10.5703125" style="2" customWidth="1"/>
    <col min="777" max="1025" width="9.140625" style="2"/>
    <col min="1026" max="1026" width="27.28515625" style="2" customWidth="1"/>
    <col min="1027" max="1027" width="14.42578125" style="2" customWidth="1"/>
    <col min="1028" max="1028" width="15.42578125" style="2" customWidth="1"/>
    <col min="1029" max="1029" width="11.5703125" style="2" customWidth="1"/>
    <col min="1030" max="1030" width="14.85546875" style="2" customWidth="1"/>
    <col min="1031" max="1031" width="13.7109375" style="2" customWidth="1"/>
    <col min="1032" max="1032" width="10.5703125" style="2" customWidth="1"/>
    <col min="1033" max="1281" width="9.140625" style="2"/>
    <col min="1282" max="1282" width="27.28515625" style="2" customWidth="1"/>
    <col min="1283" max="1283" width="14.42578125" style="2" customWidth="1"/>
    <col min="1284" max="1284" width="15.42578125" style="2" customWidth="1"/>
    <col min="1285" max="1285" width="11.5703125" style="2" customWidth="1"/>
    <col min="1286" max="1286" width="14.85546875" style="2" customWidth="1"/>
    <col min="1287" max="1287" width="13.7109375" style="2" customWidth="1"/>
    <col min="1288" max="1288" width="10.5703125" style="2" customWidth="1"/>
    <col min="1289" max="1537" width="9.140625" style="2"/>
    <col min="1538" max="1538" width="27.28515625" style="2" customWidth="1"/>
    <col min="1539" max="1539" width="14.42578125" style="2" customWidth="1"/>
    <col min="1540" max="1540" width="15.42578125" style="2" customWidth="1"/>
    <col min="1541" max="1541" width="11.5703125" style="2" customWidth="1"/>
    <col min="1542" max="1542" width="14.85546875" style="2" customWidth="1"/>
    <col min="1543" max="1543" width="13.7109375" style="2" customWidth="1"/>
    <col min="1544" max="1544" width="10.5703125" style="2" customWidth="1"/>
    <col min="1545" max="1793" width="9.140625" style="2"/>
    <col min="1794" max="1794" width="27.28515625" style="2" customWidth="1"/>
    <col min="1795" max="1795" width="14.42578125" style="2" customWidth="1"/>
    <col min="1796" max="1796" width="15.42578125" style="2" customWidth="1"/>
    <col min="1797" max="1797" width="11.5703125" style="2" customWidth="1"/>
    <col min="1798" max="1798" width="14.85546875" style="2" customWidth="1"/>
    <col min="1799" max="1799" width="13.7109375" style="2" customWidth="1"/>
    <col min="1800" max="1800" width="10.5703125" style="2" customWidth="1"/>
    <col min="1801" max="2049" width="9.140625" style="2"/>
    <col min="2050" max="2050" width="27.28515625" style="2" customWidth="1"/>
    <col min="2051" max="2051" width="14.42578125" style="2" customWidth="1"/>
    <col min="2052" max="2052" width="15.42578125" style="2" customWidth="1"/>
    <col min="2053" max="2053" width="11.5703125" style="2" customWidth="1"/>
    <col min="2054" max="2054" width="14.85546875" style="2" customWidth="1"/>
    <col min="2055" max="2055" width="13.7109375" style="2" customWidth="1"/>
    <col min="2056" max="2056" width="10.5703125" style="2" customWidth="1"/>
    <col min="2057" max="2305" width="9.140625" style="2"/>
    <col min="2306" max="2306" width="27.28515625" style="2" customWidth="1"/>
    <col min="2307" max="2307" width="14.42578125" style="2" customWidth="1"/>
    <col min="2308" max="2308" width="15.42578125" style="2" customWidth="1"/>
    <col min="2309" max="2309" width="11.5703125" style="2" customWidth="1"/>
    <col min="2310" max="2310" width="14.85546875" style="2" customWidth="1"/>
    <col min="2311" max="2311" width="13.7109375" style="2" customWidth="1"/>
    <col min="2312" max="2312" width="10.5703125" style="2" customWidth="1"/>
    <col min="2313" max="2561" width="9.140625" style="2"/>
    <col min="2562" max="2562" width="27.28515625" style="2" customWidth="1"/>
    <col min="2563" max="2563" width="14.42578125" style="2" customWidth="1"/>
    <col min="2564" max="2564" width="15.42578125" style="2" customWidth="1"/>
    <col min="2565" max="2565" width="11.5703125" style="2" customWidth="1"/>
    <col min="2566" max="2566" width="14.85546875" style="2" customWidth="1"/>
    <col min="2567" max="2567" width="13.7109375" style="2" customWidth="1"/>
    <col min="2568" max="2568" width="10.5703125" style="2" customWidth="1"/>
    <col min="2569" max="2817" width="9.140625" style="2"/>
    <col min="2818" max="2818" width="27.28515625" style="2" customWidth="1"/>
    <col min="2819" max="2819" width="14.42578125" style="2" customWidth="1"/>
    <col min="2820" max="2820" width="15.42578125" style="2" customWidth="1"/>
    <col min="2821" max="2821" width="11.5703125" style="2" customWidth="1"/>
    <col min="2822" max="2822" width="14.85546875" style="2" customWidth="1"/>
    <col min="2823" max="2823" width="13.7109375" style="2" customWidth="1"/>
    <col min="2824" max="2824" width="10.5703125" style="2" customWidth="1"/>
    <col min="2825" max="3073" width="9.140625" style="2"/>
    <col min="3074" max="3074" width="27.28515625" style="2" customWidth="1"/>
    <col min="3075" max="3075" width="14.42578125" style="2" customWidth="1"/>
    <col min="3076" max="3076" width="15.42578125" style="2" customWidth="1"/>
    <col min="3077" max="3077" width="11.5703125" style="2" customWidth="1"/>
    <col min="3078" max="3078" width="14.85546875" style="2" customWidth="1"/>
    <col min="3079" max="3079" width="13.7109375" style="2" customWidth="1"/>
    <col min="3080" max="3080" width="10.5703125" style="2" customWidth="1"/>
    <col min="3081" max="3329" width="9.140625" style="2"/>
    <col min="3330" max="3330" width="27.28515625" style="2" customWidth="1"/>
    <col min="3331" max="3331" width="14.42578125" style="2" customWidth="1"/>
    <col min="3332" max="3332" width="15.42578125" style="2" customWidth="1"/>
    <col min="3333" max="3333" width="11.5703125" style="2" customWidth="1"/>
    <col min="3334" max="3334" width="14.85546875" style="2" customWidth="1"/>
    <col min="3335" max="3335" width="13.7109375" style="2" customWidth="1"/>
    <col min="3336" max="3336" width="10.5703125" style="2" customWidth="1"/>
    <col min="3337" max="3585" width="9.140625" style="2"/>
    <col min="3586" max="3586" width="27.28515625" style="2" customWidth="1"/>
    <col min="3587" max="3587" width="14.42578125" style="2" customWidth="1"/>
    <col min="3588" max="3588" width="15.42578125" style="2" customWidth="1"/>
    <col min="3589" max="3589" width="11.5703125" style="2" customWidth="1"/>
    <col min="3590" max="3590" width="14.85546875" style="2" customWidth="1"/>
    <col min="3591" max="3591" width="13.7109375" style="2" customWidth="1"/>
    <col min="3592" max="3592" width="10.5703125" style="2" customWidth="1"/>
    <col min="3593" max="3841" width="9.140625" style="2"/>
    <col min="3842" max="3842" width="27.28515625" style="2" customWidth="1"/>
    <col min="3843" max="3843" width="14.42578125" style="2" customWidth="1"/>
    <col min="3844" max="3844" width="15.42578125" style="2" customWidth="1"/>
    <col min="3845" max="3845" width="11.5703125" style="2" customWidth="1"/>
    <col min="3846" max="3846" width="14.85546875" style="2" customWidth="1"/>
    <col min="3847" max="3847" width="13.7109375" style="2" customWidth="1"/>
    <col min="3848" max="3848" width="10.5703125" style="2" customWidth="1"/>
    <col min="3849" max="4097" width="9.140625" style="2"/>
    <col min="4098" max="4098" width="27.28515625" style="2" customWidth="1"/>
    <col min="4099" max="4099" width="14.42578125" style="2" customWidth="1"/>
    <col min="4100" max="4100" width="15.42578125" style="2" customWidth="1"/>
    <col min="4101" max="4101" width="11.5703125" style="2" customWidth="1"/>
    <col min="4102" max="4102" width="14.85546875" style="2" customWidth="1"/>
    <col min="4103" max="4103" width="13.7109375" style="2" customWidth="1"/>
    <col min="4104" max="4104" width="10.5703125" style="2" customWidth="1"/>
    <col min="4105" max="4353" width="9.140625" style="2"/>
    <col min="4354" max="4354" width="27.28515625" style="2" customWidth="1"/>
    <col min="4355" max="4355" width="14.42578125" style="2" customWidth="1"/>
    <col min="4356" max="4356" width="15.42578125" style="2" customWidth="1"/>
    <col min="4357" max="4357" width="11.5703125" style="2" customWidth="1"/>
    <col min="4358" max="4358" width="14.85546875" style="2" customWidth="1"/>
    <col min="4359" max="4359" width="13.7109375" style="2" customWidth="1"/>
    <col min="4360" max="4360" width="10.5703125" style="2" customWidth="1"/>
    <col min="4361" max="4609" width="9.140625" style="2"/>
    <col min="4610" max="4610" width="27.28515625" style="2" customWidth="1"/>
    <col min="4611" max="4611" width="14.42578125" style="2" customWidth="1"/>
    <col min="4612" max="4612" width="15.42578125" style="2" customWidth="1"/>
    <col min="4613" max="4613" width="11.5703125" style="2" customWidth="1"/>
    <col min="4614" max="4614" width="14.85546875" style="2" customWidth="1"/>
    <col min="4615" max="4615" width="13.7109375" style="2" customWidth="1"/>
    <col min="4616" max="4616" width="10.5703125" style="2" customWidth="1"/>
    <col min="4617" max="4865" width="9.140625" style="2"/>
    <col min="4866" max="4866" width="27.28515625" style="2" customWidth="1"/>
    <col min="4867" max="4867" width="14.42578125" style="2" customWidth="1"/>
    <col min="4868" max="4868" width="15.42578125" style="2" customWidth="1"/>
    <col min="4869" max="4869" width="11.5703125" style="2" customWidth="1"/>
    <col min="4870" max="4870" width="14.85546875" style="2" customWidth="1"/>
    <col min="4871" max="4871" width="13.7109375" style="2" customWidth="1"/>
    <col min="4872" max="4872" width="10.5703125" style="2" customWidth="1"/>
    <col min="4873" max="5121" width="9.140625" style="2"/>
    <col min="5122" max="5122" width="27.28515625" style="2" customWidth="1"/>
    <col min="5123" max="5123" width="14.42578125" style="2" customWidth="1"/>
    <col min="5124" max="5124" width="15.42578125" style="2" customWidth="1"/>
    <col min="5125" max="5125" width="11.5703125" style="2" customWidth="1"/>
    <col min="5126" max="5126" width="14.85546875" style="2" customWidth="1"/>
    <col min="5127" max="5127" width="13.7109375" style="2" customWidth="1"/>
    <col min="5128" max="5128" width="10.5703125" style="2" customWidth="1"/>
    <col min="5129" max="5377" width="9.140625" style="2"/>
    <col min="5378" max="5378" width="27.28515625" style="2" customWidth="1"/>
    <col min="5379" max="5379" width="14.42578125" style="2" customWidth="1"/>
    <col min="5380" max="5380" width="15.42578125" style="2" customWidth="1"/>
    <col min="5381" max="5381" width="11.5703125" style="2" customWidth="1"/>
    <col min="5382" max="5382" width="14.85546875" style="2" customWidth="1"/>
    <col min="5383" max="5383" width="13.7109375" style="2" customWidth="1"/>
    <col min="5384" max="5384" width="10.5703125" style="2" customWidth="1"/>
    <col min="5385" max="5633" width="9.140625" style="2"/>
    <col min="5634" max="5634" width="27.28515625" style="2" customWidth="1"/>
    <col min="5635" max="5635" width="14.42578125" style="2" customWidth="1"/>
    <col min="5636" max="5636" width="15.42578125" style="2" customWidth="1"/>
    <col min="5637" max="5637" width="11.5703125" style="2" customWidth="1"/>
    <col min="5638" max="5638" width="14.85546875" style="2" customWidth="1"/>
    <col min="5639" max="5639" width="13.7109375" style="2" customWidth="1"/>
    <col min="5640" max="5640" width="10.5703125" style="2" customWidth="1"/>
    <col min="5641" max="5889" width="9.140625" style="2"/>
    <col min="5890" max="5890" width="27.28515625" style="2" customWidth="1"/>
    <col min="5891" max="5891" width="14.42578125" style="2" customWidth="1"/>
    <col min="5892" max="5892" width="15.42578125" style="2" customWidth="1"/>
    <col min="5893" max="5893" width="11.5703125" style="2" customWidth="1"/>
    <col min="5894" max="5894" width="14.85546875" style="2" customWidth="1"/>
    <col min="5895" max="5895" width="13.7109375" style="2" customWidth="1"/>
    <col min="5896" max="5896" width="10.5703125" style="2" customWidth="1"/>
    <col min="5897" max="6145" width="9.140625" style="2"/>
    <col min="6146" max="6146" width="27.28515625" style="2" customWidth="1"/>
    <col min="6147" max="6147" width="14.42578125" style="2" customWidth="1"/>
    <col min="6148" max="6148" width="15.42578125" style="2" customWidth="1"/>
    <col min="6149" max="6149" width="11.5703125" style="2" customWidth="1"/>
    <col min="6150" max="6150" width="14.85546875" style="2" customWidth="1"/>
    <col min="6151" max="6151" width="13.7109375" style="2" customWidth="1"/>
    <col min="6152" max="6152" width="10.5703125" style="2" customWidth="1"/>
    <col min="6153" max="6401" width="9.140625" style="2"/>
    <col min="6402" max="6402" width="27.28515625" style="2" customWidth="1"/>
    <col min="6403" max="6403" width="14.42578125" style="2" customWidth="1"/>
    <col min="6404" max="6404" width="15.42578125" style="2" customWidth="1"/>
    <col min="6405" max="6405" width="11.5703125" style="2" customWidth="1"/>
    <col min="6406" max="6406" width="14.85546875" style="2" customWidth="1"/>
    <col min="6407" max="6407" width="13.7109375" style="2" customWidth="1"/>
    <col min="6408" max="6408" width="10.5703125" style="2" customWidth="1"/>
    <col min="6409" max="6657" width="9.140625" style="2"/>
    <col min="6658" max="6658" width="27.28515625" style="2" customWidth="1"/>
    <col min="6659" max="6659" width="14.42578125" style="2" customWidth="1"/>
    <col min="6660" max="6660" width="15.42578125" style="2" customWidth="1"/>
    <col min="6661" max="6661" width="11.5703125" style="2" customWidth="1"/>
    <col min="6662" max="6662" width="14.85546875" style="2" customWidth="1"/>
    <col min="6663" max="6663" width="13.7109375" style="2" customWidth="1"/>
    <col min="6664" max="6664" width="10.5703125" style="2" customWidth="1"/>
    <col min="6665" max="6913" width="9.140625" style="2"/>
    <col min="6914" max="6914" width="27.28515625" style="2" customWidth="1"/>
    <col min="6915" max="6915" width="14.42578125" style="2" customWidth="1"/>
    <col min="6916" max="6916" width="15.42578125" style="2" customWidth="1"/>
    <col min="6917" max="6917" width="11.5703125" style="2" customWidth="1"/>
    <col min="6918" max="6918" width="14.85546875" style="2" customWidth="1"/>
    <col min="6919" max="6919" width="13.7109375" style="2" customWidth="1"/>
    <col min="6920" max="6920" width="10.5703125" style="2" customWidth="1"/>
    <col min="6921" max="7169" width="9.140625" style="2"/>
    <col min="7170" max="7170" width="27.28515625" style="2" customWidth="1"/>
    <col min="7171" max="7171" width="14.42578125" style="2" customWidth="1"/>
    <col min="7172" max="7172" width="15.42578125" style="2" customWidth="1"/>
    <col min="7173" max="7173" width="11.5703125" style="2" customWidth="1"/>
    <col min="7174" max="7174" width="14.85546875" style="2" customWidth="1"/>
    <col min="7175" max="7175" width="13.7109375" style="2" customWidth="1"/>
    <col min="7176" max="7176" width="10.5703125" style="2" customWidth="1"/>
    <col min="7177" max="7425" width="9.140625" style="2"/>
    <col min="7426" max="7426" width="27.28515625" style="2" customWidth="1"/>
    <col min="7427" max="7427" width="14.42578125" style="2" customWidth="1"/>
    <col min="7428" max="7428" width="15.42578125" style="2" customWidth="1"/>
    <col min="7429" max="7429" width="11.5703125" style="2" customWidth="1"/>
    <col min="7430" max="7430" width="14.85546875" style="2" customWidth="1"/>
    <col min="7431" max="7431" width="13.7109375" style="2" customWidth="1"/>
    <col min="7432" max="7432" width="10.5703125" style="2" customWidth="1"/>
    <col min="7433" max="7681" width="9.140625" style="2"/>
    <col min="7682" max="7682" width="27.28515625" style="2" customWidth="1"/>
    <col min="7683" max="7683" width="14.42578125" style="2" customWidth="1"/>
    <col min="7684" max="7684" width="15.42578125" style="2" customWidth="1"/>
    <col min="7685" max="7685" width="11.5703125" style="2" customWidth="1"/>
    <col min="7686" max="7686" width="14.85546875" style="2" customWidth="1"/>
    <col min="7687" max="7687" width="13.7109375" style="2" customWidth="1"/>
    <col min="7688" max="7688" width="10.5703125" style="2" customWidth="1"/>
    <col min="7689" max="7937" width="9.140625" style="2"/>
    <col min="7938" max="7938" width="27.28515625" style="2" customWidth="1"/>
    <col min="7939" max="7939" width="14.42578125" style="2" customWidth="1"/>
    <col min="7940" max="7940" width="15.42578125" style="2" customWidth="1"/>
    <col min="7941" max="7941" width="11.5703125" style="2" customWidth="1"/>
    <col min="7942" max="7942" width="14.85546875" style="2" customWidth="1"/>
    <col min="7943" max="7943" width="13.7109375" style="2" customWidth="1"/>
    <col min="7944" max="7944" width="10.5703125" style="2" customWidth="1"/>
    <col min="7945" max="8193" width="9.140625" style="2"/>
    <col min="8194" max="8194" width="27.28515625" style="2" customWidth="1"/>
    <col min="8195" max="8195" width="14.42578125" style="2" customWidth="1"/>
    <col min="8196" max="8196" width="15.42578125" style="2" customWidth="1"/>
    <col min="8197" max="8197" width="11.5703125" style="2" customWidth="1"/>
    <col min="8198" max="8198" width="14.85546875" style="2" customWidth="1"/>
    <col min="8199" max="8199" width="13.7109375" style="2" customWidth="1"/>
    <col min="8200" max="8200" width="10.5703125" style="2" customWidth="1"/>
    <col min="8201" max="8449" width="9.140625" style="2"/>
    <col min="8450" max="8450" width="27.28515625" style="2" customWidth="1"/>
    <col min="8451" max="8451" width="14.42578125" style="2" customWidth="1"/>
    <col min="8452" max="8452" width="15.42578125" style="2" customWidth="1"/>
    <col min="8453" max="8453" width="11.5703125" style="2" customWidth="1"/>
    <col min="8454" max="8454" width="14.85546875" style="2" customWidth="1"/>
    <col min="8455" max="8455" width="13.7109375" style="2" customWidth="1"/>
    <col min="8456" max="8456" width="10.5703125" style="2" customWidth="1"/>
    <col min="8457" max="8705" width="9.140625" style="2"/>
    <col min="8706" max="8706" width="27.28515625" style="2" customWidth="1"/>
    <col min="8707" max="8707" width="14.42578125" style="2" customWidth="1"/>
    <col min="8708" max="8708" width="15.42578125" style="2" customWidth="1"/>
    <col min="8709" max="8709" width="11.5703125" style="2" customWidth="1"/>
    <col min="8710" max="8710" width="14.85546875" style="2" customWidth="1"/>
    <col min="8711" max="8711" width="13.7109375" style="2" customWidth="1"/>
    <col min="8712" max="8712" width="10.5703125" style="2" customWidth="1"/>
    <col min="8713" max="8961" width="9.140625" style="2"/>
    <col min="8962" max="8962" width="27.28515625" style="2" customWidth="1"/>
    <col min="8963" max="8963" width="14.42578125" style="2" customWidth="1"/>
    <col min="8964" max="8964" width="15.42578125" style="2" customWidth="1"/>
    <col min="8965" max="8965" width="11.5703125" style="2" customWidth="1"/>
    <col min="8966" max="8966" width="14.85546875" style="2" customWidth="1"/>
    <col min="8967" max="8967" width="13.7109375" style="2" customWidth="1"/>
    <col min="8968" max="8968" width="10.5703125" style="2" customWidth="1"/>
    <col min="8969" max="9217" width="9.140625" style="2"/>
    <col min="9218" max="9218" width="27.28515625" style="2" customWidth="1"/>
    <col min="9219" max="9219" width="14.42578125" style="2" customWidth="1"/>
    <col min="9220" max="9220" width="15.42578125" style="2" customWidth="1"/>
    <col min="9221" max="9221" width="11.5703125" style="2" customWidth="1"/>
    <col min="9222" max="9222" width="14.85546875" style="2" customWidth="1"/>
    <col min="9223" max="9223" width="13.7109375" style="2" customWidth="1"/>
    <col min="9224" max="9224" width="10.5703125" style="2" customWidth="1"/>
    <col min="9225" max="9473" width="9.140625" style="2"/>
    <col min="9474" max="9474" width="27.28515625" style="2" customWidth="1"/>
    <col min="9475" max="9475" width="14.42578125" style="2" customWidth="1"/>
    <col min="9476" max="9476" width="15.42578125" style="2" customWidth="1"/>
    <col min="9477" max="9477" width="11.5703125" style="2" customWidth="1"/>
    <col min="9478" max="9478" width="14.85546875" style="2" customWidth="1"/>
    <col min="9479" max="9479" width="13.7109375" style="2" customWidth="1"/>
    <col min="9480" max="9480" width="10.5703125" style="2" customWidth="1"/>
    <col min="9481" max="9729" width="9.140625" style="2"/>
    <col min="9730" max="9730" width="27.28515625" style="2" customWidth="1"/>
    <col min="9731" max="9731" width="14.42578125" style="2" customWidth="1"/>
    <col min="9732" max="9732" width="15.42578125" style="2" customWidth="1"/>
    <col min="9733" max="9733" width="11.5703125" style="2" customWidth="1"/>
    <col min="9734" max="9734" width="14.85546875" style="2" customWidth="1"/>
    <col min="9735" max="9735" width="13.7109375" style="2" customWidth="1"/>
    <col min="9736" max="9736" width="10.5703125" style="2" customWidth="1"/>
    <col min="9737" max="9985" width="9.140625" style="2"/>
    <col min="9986" max="9986" width="27.28515625" style="2" customWidth="1"/>
    <col min="9987" max="9987" width="14.42578125" style="2" customWidth="1"/>
    <col min="9988" max="9988" width="15.42578125" style="2" customWidth="1"/>
    <col min="9989" max="9989" width="11.5703125" style="2" customWidth="1"/>
    <col min="9990" max="9990" width="14.85546875" style="2" customWidth="1"/>
    <col min="9991" max="9991" width="13.7109375" style="2" customWidth="1"/>
    <col min="9992" max="9992" width="10.5703125" style="2" customWidth="1"/>
    <col min="9993" max="10241" width="9.140625" style="2"/>
    <col min="10242" max="10242" width="27.28515625" style="2" customWidth="1"/>
    <col min="10243" max="10243" width="14.42578125" style="2" customWidth="1"/>
    <col min="10244" max="10244" width="15.42578125" style="2" customWidth="1"/>
    <col min="10245" max="10245" width="11.5703125" style="2" customWidth="1"/>
    <col min="10246" max="10246" width="14.85546875" style="2" customWidth="1"/>
    <col min="10247" max="10247" width="13.7109375" style="2" customWidth="1"/>
    <col min="10248" max="10248" width="10.5703125" style="2" customWidth="1"/>
    <col min="10249" max="10497" width="9.140625" style="2"/>
    <col min="10498" max="10498" width="27.28515625" style="2" customWidth="1"/>
    <col min="10499" max="10499" width="14.42578125" style="2" customWidth="1"/>
    <col min="10500" max="10500" width="15.42578125" style="2" customWidth="1"/>
    <col min="10501" max="10501" width="11.5703125" style="2" customWidth="1"/>
    <col min="10502" max="10502" width="14.85546875" style="2" customWidth="1"/>
    <col min="10503" max="10503" width="13.7109375" style="2" customWidth="1"/>
    <col min="10504" max="10504" width="10.5703125" style="2" customWidth="1"/>
    <col min="10505" max="10753" width="9.140625" style="2"/>
    <col min="10754" max="10754" width="27.28515625" style="2" customWidth="1"/>
    <col min="10755" max="10755" width="14.42578125" style="2" customWidth="1"/>
    <col min="10756" max="10756" width="15.42578125" style="2" customWidth="1"/>
    <col min="10757" max="10757" width="11.5703125" style="2" customWidth="1"/>
    <col min="10758" max="10758" width="14.85546875" style="2" customWidth="1"/>
    <col min="10759" max="10759" width="13.7109375" style="2" customWidth="1"/>
    <col min="10760" max="10760" width="10.5703125" style="2" customWidth="1"/>
    <col min="10761" max="11009" width="9.140625" style="2"/>
    <col min="11010" max="11010" width="27.28515625" style="2" customWidth="1"/>
    <col min="11011" max="11011" width="14.42578125" style="2" customWidth="1"/>
    <col min="11012" max="11012" width="15.42578125" style="2" customWidth="1"/>
    <col min="11013" max="11013" width="11.5703125" style="2" customWidth="1"/>
    <col min="11014" max="11014" width="14.85546875" style="2" customWidth="1"/>
    <col min="11015" max="11015" width="13.7109375" style="2" customWidth="1"/>
    <col min="11016" max="11016" width="10.5703125" style="2" customWidth="1"/>
    <col min="11017" max="11265" width="9.140625" style="2"/>
    <col min="11266" max="11266" width="27.28515625" style="2" customWidth="1"/>
    <col min="11267" max="11267" width="14.42578125" style="2" customWidth="1"/>
    <col min="11268" max="11268" width="15.42578125" style="2" customWidth="1"/>
    <col min="11269" max="11269" width="11.5703125" style="2" customWidth="1"/>
    <col min="11270" max="11270" width="14.85546875" style="2" customWidth="1"/>
    <col min="11271" max="11271" width="13.7109375" style="2" customWidth="1"/>
    <col min="11272" max="11272" width="10.5703125" style="2" customWidth="1"/>
    <col min="11273" max="11521" width="9.140625" style="2"/>
    <col min="11522" max="11522" width="27.28515625" style="2" customWidth="1"/>
    <col min="11523" max="11523" width="14.42578125" style="2" customWidth="1"/>
    <col min="11524" max="11524" width="15.42578125" style="2" customWidth="1"/>
    <col min="11525" max="11525" width="11.5703125" style="2" customWidth="1"/>
    <col min="11526" max="11526" width="14.85546875" style="2" customWidth="1"/>
    <col min="11527" max="11527" width="13.7109375" style="2" customWidth="1"/>
    <col min="11528" max="11528" width="10.5703125" style="2" customWidth="1"/>
    <col min="11529" max="11777" width="9.140625" style="2"/>
    <col min="11778" max="11778" width="27.28515625" style="2" customWidth="1"/>
    <col min="11779" max="11779" width="14.42578125" style="2" customWidth="1"/>
    <col min="11780" max="11780" width="15.42578125" style="2" customWidth="1"/>
    <col min="11781" max="11781" width="11.5703125" style="2" customWidth="1"/>
    <col min="11782" max="11782" width="14.85546875" style="2" customWidth="1"/>
    <col min="11783" max="11783" width="13.7109375" style="2" customWidth="1"/>
    <col min="11784" max="11784" width="10.5703125" style="2" customWidth="1"/>
    <col min="11785" max="12033" width="9.140625" style="2"/>
    <col min="12034" max="12034" width="27.28515625" style="2" customWidth="1"/>
    <col min="12035" max="12035" width="14.42578125" style="2" customWidth="1"/>
    <col min="12036" max="12036" width="15.42578125" style="2" customWidth="1"/>
    <col min="12037" max="12037" width="11.5703125" style="2" customWidth="1"/>
    <col min="12038" max="12038" width="14.85546875" style="2" customWidth="1"/>
    <col min="12039" max="12039" width="13.7109375" style="2" customWidth="1"/>
    <col min="12040" max="12040" width="10.5703125" style="2" customWidth="1"/>
    <col min="12041" max="12289" width="9.140625" style="2"/>
    <col min="12290" max="12290" width="27.28515625" style="2" customWidth="1"/>
    <col min="12291" max="12291" width="14.42578125" style="2" customWidth="1"/>
    <col min="12292" max="12292" width="15.42578125" style="2" customWidth="1"/>
    <col min="12293" max="12293" width="11.5703125" style="2" customWidth="1"/>
    <col min="12294" max="12294" width="14.85546875" style="2" customWidth="1"/>
    <col min="12295" max="12295" width="13.7109375" style="2" customWidth="1"/>
    <col min="12296" max="12296" width="10.5703125" style="2" customWidth="1"/>
    <col min="12297" max="12545" width="9.140625" style="2"/>
    <col min="12546" max="12546" width="27.28515625" style="2" customWidth="1"/>
    <col min="12547" max="12547" width="14.42578125" style="2" customWidth="1"/>
    <col min="12548" max="12548" width="15.42578125" style="2" customWidth="1"/>
    <col min="12549" max="12549" width="11.5703125" style="2" customWidth="1"/>
    <col min="12550" max="12550" width="14.85546875" style="2" customWidth="1"/>
    <col min="12551" max="12551" width="13.7109375" style="2" customWidth="1"/>
    <col min="12552" max="12552" width="10.5703125" style="2" customWidth="1"/>
    <col min="12553" max="12801" width="9.140625" style="2"/>
    <col min="12802" max="12802" width="27.28515625" style="2" customWidth="1"/>
    <col min="12803" max="12803" width="14.42578125" style="2" customWidth="1"/>
    <col min="12804" max="12804" width="15.42578125" style="2" customWidth="1"/>
    <col min="12805" max="12805" width="11.5703125" style="2" customWidth="1"/>
    <col min="12806" max="12806" width="14.85546875" style="2" customWidth="1"/>
    <col min="12807" max="12807" width="13.7109375" style="2" customWidth="1"/>
    <col min="12808" max="12808" width="10.5703125" style="2" customWidth="1"/>
    <col min="12809" max="13057" width="9.140625" style="2"/>
    <col min="13058" max="13058" width="27.28515625" style="2" customWidth="1"/>
    <col min="13059" max="13059" width="14.42578125" style="2" customWidth="1"/>
    <col min="13060" max="13060" width="15.42578125" style="2" customWidth="1"/>
    <col min="13061" max="13061" width="11.5703125" style="2" customWidth="1"/>
    <col min="13062" max="13062" width="14.85546875" style="2" customWidth="1"/>
    <col min="13063" max="13063" width="13.7109375" style="2" customWidth="1"/>
    <col min="13064" max="13064" width="10.5703125" style="2" customWidth="1"/>
    <col min="13065" max="13313" width="9.140625" style="2"/>
    <col min="13314" max="13314" width="27.28515625" style="2" customWidth="1"/>
    <col min="13315" max="13315" width="14.42578125" style="2" customWidth="1"/>
    <col min="13316" max="13316" width="15.42578125" style="2" customWidth="1"/>
    <col min="13317" max="13317" width="11.5703125" style="2" customWidth="1"/>
    <col min="13318" max="13318" width="14.85546875" style="2" customWidth="1"/>
    <col min="13319" max="13319" width="13.7109375" style="2" customWidth="1"/>
    <col min="13320" max="13320" width="10.5703125" style="2" customWidth="1"/>
    <col min="13321" max="13569" width="9.140625" style="2"/>
    <col min="13570" max="13570" width="27.28515625" style="2" customWidth="1"/>
    <col min="13571" max="13571" width="14.42578125" style="2" customWidth="1"/>
    <col min="13572" max="13572" width="15.42578125" style="2" customWidth="1"/>
    <col min="13573" max="13573" width="11.5703125" style="2" customWidth="1"/>
    <col min="13574" max="13574" width="14.85546875" style="2" customWidth="1"/>
    <col min="13575" max="13575" width="13.7109375" style="2" customWidth="1"/>
    <col min="13576" max="13576" width="10.5703125" style="2" customWidth="1"/>
    <col min="13577" max="13825" width="9.140625" style="2"/>
    <col min="13826" max="13826" width="27.28515625" style="2" customWidth="1"/>
    <col min="13827" max="13827" width="14.42578125" style="2" customWidth="1"/>
    <col min="13828" max="13828" width="15.42578125" style="2" customWidth="1"/>
    <col min="13829" max="13829" width="11.5703125" style="2" customWidth="1"/>
    <col min="13830" max="13830" width="14.85546875" style="2" customWidth="1"/>
    <col min="13831" max="13831" width="13.7109375" style="2" customWidth="1"/>
    <col min="13832" max="13832" width="10.5703125" style="2" customWidth="1"/>
    <col min="13833" max="14081" width="9.140625" style="2"/>
    <col min="14082" max="14082" width="27.28515625" style="2" customWidth="1"/>
    <col min="14083" max="14083" width="14.42578125" style="2" customWidth="1"/>
    <col min="14084" max="14084" width="15.42578125" style="2" customWidth="1"/>
    <col min="14085" max="14085" width="11.5703125" style="2" customWidth="1"/>
    <col min="14086" max="14086" width="14.85546875" style="2" customWidth="1"/>
    <col min="14087" max="14087" width="13.7109375" style="2" customWidth="1"/>
    <col min="14088" max="14088" width="10.5703125" style="2" customWidth="1"/>
    <col min="14089" max="14337" width="9.140625" style="2"/>
    <col min="14338" max="14338" width="27.28515625" style="2" customWidth="1"/>
    <col min="14339" max="14339" width="14.42578125" style="2" customWidth="1"/>
    <col min="14340" max="14340" width="15.42578125" style="2" customWidth="1"/>
    <col min="14341" max="14341" width="11.5703125" style="2" customWidth="1"/>
    <col min="14342" max="14342" width="14.85546875" style="2" customWidth="1"/>
    <col min="14343" max="14343" width="13.7109375" style="2" customWidth="1"/>
    <col min="14344" max="14344" width="10.5703125" style="2" customWidth="1"/>
    <col min="14345" max="14593" width="9.140625" style="2"/>
    <col min="14594" max="14594" width="27.28515625" style="2" customWidth="1"/>
    <col min="14595" max="14595" width="14.42578125" style="2" customWidth="1"/>
    <col min="14596" max="14596" width="15.42578125" style="2" customWidth="1"/>
    <col min="14597" max="14597" width="11.5703125" style="2" customWidth="1"/>
    <col min="14598" max="14598" width="14.85546875" style="2" customWidth="1"/>
    <col min="14599" max="14599" width="13.7109375" style="2" customWidth="1"/>
    <col min="14600" max="14600" width="10.5703125" style="2" customWidth="1"/>
    <col min="14601" max="14849" width="9.140625" style="2"/>
    <col min="14850" max="14850" width="27.28515625" style="2" customWidth="1"/>
    <col min="14851" max="14851" width="14.42578125" style="2" customWidth="1"/>
    <col min="14852" max="14852" width="15.42578125" style="2" customWidth="1"/>
    <col min="14853" max="14853" width="11.5703125" style="2" customWidth="1"/>
    <col min="14854" max="14854" width="14.85546875" style="2" customWidth="1"/>
    <col min="14855" max="14855" width="13.7109375" style="2" customWidth="1"/>
    <col min="14856" max="14856" width="10.5703125" style="2" customWidth="1"/>
    <col min="14857" max="15105" width="9.140625" style="2"/>
    <col min="15106" max="15106" width="27.28515625" style="2" customWidth="1"/>
    <col min="15107" max="15107" width="14.42578125" style="2" customWidth="1"/>
    <col min="15108" max="15108" width="15.42578125" style="2" customWidth="1"/>
    <col min="15109" max="15109" width="11.5703125" style="2" customWidth="1"/>
    <col min="15110" max="15110" width="14.85546875" style="2" customWidth="1"/>
    <col min="15111" max="15111" width="13.7109375" style="2" customWidth="1"/>
    <col min="15112" max="15112" width="10.5703125" style="2" customWidth="1"/>
    <col min="15113" max="15361" width="9.140625" style="2"/>
    <col min="15362" max="15362" width="27.28515625" style="2" customWidth="1"/>
    <col min="15363" max="15363" width="14.42578125" style="2" customWidth="1"/>
    <col min="15364" max="15364" width="15.42578125" style="2" customWidth="1"/>
    <col min="15365" max="15365" width="11.5703125" style="2" customWidth="1"/>
    <col min="15366" max="15366" width="14.85546875" style="2" customWidth="1"/>
    <col min="15367" max="15367" width="13.7109375" style="2" customWidth="1"/>
    <col min="15368" max="15368" width="10.5703125" style="2" customWidth="1"/>
    <col min="15369" max="15617" width="9.140625" style="2"/>
    <col min="15618" max="15618" width="27.28515625" style="2" customWidth="1"/>
    <col min="15619" max="15619" width="14.42578125" style="2" customWidth="1"/>
    <col min="15620" max="15620" width="15.42578125" style="2" customWidth="1"/>
    <col min="15621" max="15621" width="11.5703125" style="2" customWidth="1"/>
    <col min="15622" max="15622" width="14.85546875" style="2" customWidth="1"/>
    <col min="15623" max="15623" width="13.7109375" style="2" customWidth="1"/>
    <col min="15624" max="15624" width="10.5703125" style="2" customWidth="1"/>
    <col min="15625" max="15873" width="9.140625" style="2"/>
    <col min="15874" max="15874" width="27.28515625" style="2" customWidth="1"/>
    <col min="15875" max="15875" width="14.42578125" style="2" customWidth="1"/>
    <col min="15876" max="15876" width="15.42578125" style="2" customWidth="1"/>
    <col min="15877" max="15877" width="11.5703125" style="2" customWidth="1"/>
    <col min="15878" max="15878" width="14.85546875" style="2" customWidth="1"/>
    <col min="15879" max="15879" width="13.7109375" style="2" customWidth="1"/>
    <col min="15880" max="15880" width="10.5703125" style="2" customWidth="1"/>
    <col min="15881" max="16129" width="9.140625" style="2"/>
    <col min="16130" max="16130" width="27.28515625" style="2" customWidth="1"/>
    <col min="16131" max="16131" width="14.42578125" style="2" customWidth="1"/>
    <col min="16132" max="16132" width="15.42578125" style="2" customWidth="1"/>
    <col min="16133" max="16133" width="11.5703125" style="2" customWidth="1"/>
    <col min="16134" max="16134" width="14.85546875" style="2" customWidth="1"/>
    <col min="16135" max="16135" width="13.7109375" style="2" customWidth="1"/>
    <col min="16136" max="16136" width="10.5703125" style="2" customWidth="1"/>
    <col min="16137" max="16384" width="9.140625" style="2"/>
  </cols>
  <sheetData>
    <row r="1" spans="1:8">
      <c r="A1" s="1" t="s">
        <v>0</v>
      </c>
      <c r="G1" s="2" t="s">
        <v>325</v>
      </c>
    </row>
    <row r="2" spans="1:8">
      <c r="A2" s="1" t="s">
        <v>2</v>
      </c>
      <c r="G2" s="2" t="s">
        <v>430</v>
      </c>
    </row>
    <row r="3" spans="1:8">
      <c r="A3" s="1" t="s">
        <v>326</v>
      </c>
      <c r="G3" s="2" t="s">
        <v>409</v>
      </c>
    </row>
    <row r="4" spans="1:8">
      <c r="A4" s="1" t="s">
        <v>4</v>
      </c>
    </row>
    <row r="5" spans="1:8">
      <c r="A5" s="1"/>
    </row>
    <row r="6" spans="1:8" ht="15.75">
      <c r="B6" s="225" t="s">
        <v>327</v>
      </c>
      <c r="C6" s="225"/>
      <c r="D6" s="225"/>
      <c r="E6" s="225"/>
      <c r="F6" s="225"/>
      <c r="G6" s="225"/>
      <c r="H6" s="225"/>
    </row>
    <row r="8" spans="1:8" ht="15.75">
      <c r="H8" s="80" t="s">
        <v>328</v>
      </c>
    </row>
    <row r="9" spans="1:8" ht="30" customHeight="1">
      <c r="A9" s="121" t="s">
        <v>329</v>
      </c>
      <c r="B9" s="296" t="s">
        <v>330</v>
      </c>
      <c r="C9" s="297" t="s">
        <v>331</v>
      </c>
      <c r="D9" s="297"/>
      <c r="E9" s="298" t="s">
        <v>332</v>
      </c>
      <c r="F9" s="299" t="s">
        <v>333</v>
      </c>
      <c r="G9" s="299"/>
      <c r="H9" s="298" t="s">
        <v>334</v>
      </c>
    </row>
    <row r="10" spans="1:8" ht="23.25" customHeight="1">
      <c r="A10" s="121" t="s">
        <v>335</v>
      </c>
      <c r="B10" s="296"/>
      <c r="C10" s="122" t="s">
        <v>336</v>
      </c>
      <c r="D10" s="122" t="s">
        <v>337</v>
      </c>
      <c r="E10" s="299"/>
      <c r="F10" s="122" t="s">
        <v>336</v>
      </c>
      <c r="G10" s="122" t="s">
        <v>337</v>
      </c>
      <c r="H10" s="299"/>
    </row>
    <row r="11" spans="1:8" ht="23.25" customHeight="1">
      <c r="A11" s="122">
        <v>0</v>
      </c>
      <c r="B11" s="122">
        <v>1</v>
      </c>
      <c r="C11" s="122">
        <v>2</v>
      </c>
      <c r="D11" s="122">
        <v>3</v>
      </c>
      <c r="E11" s="122">
        <v>4</v>
      </c>
      <c r="F11" s="122">
        <v>5</v>
      </c>
      <c r="G11" s="122">
        <v>6</v>
      </c>
      <c r="H11" s="122">
        <v>7</v>
      </c>
    </row>
    <row r="12" spans="1:8" ht="42.75" customHeight="1">
      <c r="A12" s="123" t="s">
        <v>338</v>
      </c>
      <c r="B12" s="124" t="s">
        <v>339</v>
      </c>
      <c r="C12" s="125">
        <f>C13+C14</f>
        <v>4378.47</v>
      </c>
      <c r="D12" s="125">
        <f>D13+D14</f>
        <v>4752.93</v>
      </c>
      <c r="E12" s="83">
        <f>(D12/C12)*100%</f>
        <v>1.0855230251663253</v>
      </c>
      <c r="F12" s="125">
        <f>F13+F14</f>
        <v>5536.1</v>
      </c>
      <c r="G12" s="125">
        <f>G13+G14</f>
        <v>5806.7300000000005</v>
      </c>
      <c r="H12" s="83">
        <f>(G12/F12)*100%</f>
        <v>1.0488845938476545</v>
      </c>
    </row>
    <row r="13" spans="1:8" ht="30" customHeight="1">
      <c r="A13" s="123">
        <v>1</v>
      </c>
      <c r="B13" s="81" t="s">
        <v>340</v>
      </c>
      <c r="C13" s="82">
        <v>4378.37</v>
      </c>
      <c r="D13" s="82">
        <v>4752.93</v>
      </c>
      <c r="E13" s="83">
        <f>(D13/C13)*100%</f>
        <v>1.0855478180236025</v>
      </c>
      <c r="F13" s="82">
        <v>5536</v>
      </c>
      <c r="G13" s="82">
        <v>5806.6</v>
      </c>
      <c r="H13" s="83">
        <f>(G13/F13)*100%</f>
        <v>1.0488800578034683</v>
      </c>
    </row>
    <row r="14" spans="1:8" ht="23.25" customHeight="1">
      <c r="A14" s="126" t="s">
        <v>341</v>
      </c>
      <c r="B14" s="84" t="s">
        <v>19</v>
      </c>
      <c r="C14" s="82">
        <v>0.1</v>
      </c>
      <c r="D14" s="82">
        <v>0</v>
      </c>
      <c r="E14" s="83">
        <v>0</v>
      </c>
      <c r="F14" s="82">
        <v>0.1</v>
      </c>
      <c r="G14" s="82">
        <v>0.13</v>
      </c>
      <c r="H14" s="123"/>
    </row>
    <row r="19" spans="1:10" ht="15" customHeight="1">
      <c r="A19" s="300" t="s">
        <v>342</v>
      </c>
      <c r="B19" s="300"/>
      <c r="C19" s="300"/>
      <c r="D19" s="223" t="s">
        <v>324</v>
      </c>
      <c r="E19" s="223"/>
      <c r="F19" s="223"/>
      <c r="G19" s="223"/>
      <c r="H19" s="223"/>
    </row>
    <row r="20" spans="1:10" ht="24.75" customHeight="1">
      <c r="A20" s="223" t="s">
        <v>436</v>
      </c>
      <c r="B20" s="223"/>
      <c r="C20" s="223"/>
      <c r="D20" s="262" t="s">
        <v>438</v>
      </c>
      <c r="E20" s="262"/>
      <c r="F20" s="262"/>
      <c r="G20" s="262"/>
      <c r="H20" s="262"/>
      <c r="I20" s="219"/>
      <c r="J20" s="219"/>
    </row>
    <row r="21" spans="1:10" ht="30" customHeight="1">
      <c r="A21" s="223" t="s">
        <v>100</v>
      </c>
      <c r="B21" s="223"/>
      <c r="C21" s="223"/>
      <c r="D21" s="223" t="s">
        <v>343</v>
      </c>
      <c r="E21" s="223"/>
      <c r="F21" s="223"/>
      <c r="G21" s="223"/>
      <c r="H21" s="223"/>
    </row>
  </sheetData>
  <mergeCells count="12">
    <mergeCell ref="D19:H19"/>
    <mergeCell ref="D20:H20"/>
    <mergeCell ref="D21:H21"/>
    <mergeCell ref="B6:H6"/>
    <mergeCell ref="B9:B10"/>
    <mergeCell ref="C9:D9"/>
    <mergeCell ref="E9:E10"/>
    <mergeCell ref="F9:G9"/>
    <mergeCell ref="H9:H10"/>
    <mergeCell ref="A19:C19"/>
    <mergeCell ref="A20:C20"/>
    <mergeCell ref="A21:C21"/>
  </mergeCells>
  <printOptions horizontalCentered="1" verticalCentered="1"/>
  <pageMargins left="0" right="0" top="0" bottom="0" header="0" footer="0"/>
  <pageSetup paperSize="9" scale="85" orientation="landscape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AA81"/>
  <sheetViews>
    <sheetView view="pageBreakPreview" zoomScaleNormal="100" zoomScaleSheetLayoutView="100" workbookViewId="0">
      <selection activeCell="C103" sqref="C103"/>
    </sheetView>
  </sheetViews>
  <sheetFormatPr defaultRowHeight="15"/>
  <cols>
    <col min="1" max="1" width="3.28515625" style="6" customWidth="1"/>
    <col min="2" max="2" width="3.42578125" style="6" customWidth="1"/>
    <col min="3" max="3" width="76.85546875" style="6" customWidth="1"/>
    <col min="4" max="4" width="10.28515625" style="6" customWidth="1"/>
    <col min="5" max="5" width="12" style="85" customWidth="1"/>
    <col min="6" max="6" width="12" style="6" customWidth="1"/>
    <col min="7" max="7" width="13.85546875" style="85" customWidth="1"/>
    <col min="8" max="8" width="9" style="6" customWidth="1"/>
    <col min="9" max="9" width="8.28515625" style="6" customWidth="1"/>
    <col min="10" max="251" width="9.140625" style="6"/>
    <col min="252" max="252" width="3.28515625" style="6" customWidth="1"/>
    <col min="253" max="253" width="3.42578125" style="6" customWidth="1"/>
    <col min="254" max="254" width="76.85546875" style="6" customWidth="1"/>
    <col min="255" max="255" width="10.28515625" style="6" customWidth="1"/>
    <col min="256" max="257" width="12" style="6" customWidth="1"/>
    <col min="258" max="258" width="11.140625" style="6" customWidth="1"/>
    <col min="259" max="263" width="0" style="6" hidden="1" customWidth="1"/>
    <col min="264" max="265" width="8.28515625" style="6" customWidth="1"/>
    <col min="266" max="507" width="9.140625" style="6"/>
    <col min="508" max="508" width="3.28515625" style="6" customWidth="1"/>
    <col min="509" max="509" width="3.42578125" style="6" customWidth="1"/>
    <col min="510" max="510" width="76.85546875" style="6" customWidth="1"/>
    <col min="511" max="511" width="10.28515625" style="6" customWidth="1"/>
    <col min="512" max="513" width="12" style="6" customWidth="1"/>
    <col min="514" max="514" width="11.140625" style="6" customWidth="1"/>
    <col min="515" max="519" width="0" style="6" hidden="1" customWidth="1"/>
    <col min="520" max="521" width="8.28515625" style="6" customWidth="1"/>
    <col min="522" max="763" width="9.140625" style="6"/>
    <col min="764" max="764" width="3.28515625" style="6" customWidth="1"/>
    <col min="765" max="765" width="3.42578125" style="6" customWidth="1"/>
    <col min="766" max="766" width="76.85546875" style="6" customWidth="1"/>
    <col min="767" max="767" width="10.28515625" style="6" customWidth="1"/>
    <col min="768" max="769" width="12" style="6" customWidth="1"/>
    <col min="770" max="770" width="11.140625" style="6" customWidth="1"/>
    <col min="771" max="775" width="0" style="6" hidden="1" customWidth="1"/>
    <col min="776" max="777" width="8.28515625" style="6" customWidth="1"/>
    <col min="778" max="1019" width="9.140625" style="6"/>
    <col min="1020" max="1020" width="3.28515625" style="6" customWidth="1"/>
    <col min="1021" max="1021" width="3.42578125" style="6" customWidth="1"/>
    <col min="1022" max="1022" width="76.85546875" style="6" customWidth="1"/>
    <col min="1023" max="1023" width="10.28515625" style="6" customWidth="1"/>
    <col min="1024" max="1025" width="12" style="6" customWidth="1"/>
    <col min="1026" max="1026" width="11.140625" style="6" customWidth="1"/>
    <col min="1027" max="1031" width="0" style="6" hidden="1" customWidth="1"/>
    <col min="1032" max="1033" width="8.28515625" style="6" customWidth="1"/>
    <col min="1034" max="1275" width="9.140625" style="6"/>
    <col min="1276" max="1276" width="3.28515625" style="6" customWidth="1"/>
    <col min="1277" max="1277" width="3.42578125" style="6" customWidth="1"/>
    <col min="1278" max="1278" width="76.85546875" style="6" customWidth="1"/>
    <col min="1279" max="1279" width="10.28515625" style="6" customWidth="1"/>
    <col min="1280" max="1281" width="12" style="6" customWidth="1"/>
    <col min="1282" max="1282" width="11.140625" style="6" customWidth="1"/>
    <col min="1283" max="1287" width="0" style="6" hidden="1" customWidth="1"/>
    <col min="1288" max="1289" width="8.28515625" style="6" customWidth="1"/>
    <col min="1290" max="1531" width="9.140625" style="6"/>
    <col min="1532" max="1532" width="3.28515625" style="6" customWidth="1"/>
    <col min="1533" max="1533" width="3.42578125" style="6" customWidth="1"/>
    <col min="1534" max="1534" width="76.85546875" style="6" customWidth="1"/>
    <col min="1535" max="1535" width="10.28515625" style="6" customWidth="1"/>
    <col min="1536" max="1537" width="12" style="6" customWidth="1"/>
    <col min="1538" max="1538" width="11.140625" style="6" customWidth="1"/>
    <col min="1539" max="1543" width="0" style="6" hidden="1" customWidth="1"/>
    <col min="1544" max="1545" width="8.28515625" style="6" customWidth="1"/>
    <col min="1546" max="1787" width="9.140625" style="6"/>
    <col min="1788" max="1788" width="3.28515625" style="6" customWidth="1"/>
    <col min="1789" max="1789" width="3.42578125" style="6" customWidth="1"/>
    <col min="1790" max="1790" width="76.85546875" style="6" customWidth="1"/>
    <col min="1791" max="1791" width="10.28515625" style="6" customWidth="1"/>
    <col min="1792" max="1793" width="12" style="6" customWidth="1"/>
    <col min="1794" max="1794" width="11.140625" style="6" customWidth="1"/>
    <col min="1795" max="1799" width="0" style="6" hidden="1" customWidth="1"/>
    <col min="1800" max="1801" width="8.28515625" style="6" customWidth="1"/>
    <col min="1802" max="2043" width="9.140625" style="6"/>
    <col min="2044" max="2044" width="3.28515625" style="6" customWidth="1"/>
    <col min="2045" max="2045" width="3.42578125" style="6" customWidth="1"/>
    <col min="2046" max="2046" width="76.85546875" style="6" customWidth="1"/>
    <col min="2047" max="2047" width="10.28515625" style="6" customWidth="1"/>
    <col min="2048" max="2049" width="12" style="6" customWidth="1"/>
    <col min="2050" max="2050" width="11.140625" style="6" customWidth="1"/>
    <col min="2051" max="2055" width="0" style="6" hidden="1" customWidth="1"/>
    <col min="2056" max="2057" width="8.28515625" style="6" customWidth="1"/>
    <col min="2058" max="2299" width="9.140625" style="6"/>
    <col min="2300" max="2300" width="3.28515625" style="6" customWidth="1"/>
    <col min="2301" max="2301" width="3.42578125" style="6" customWidth="1"/>
    <col min="2302" max="2302" width="76.85546875" style="6" customWidth="1"/>
    <col min="2303" max="2303" width="10.28515625" style="6" customWidth="1"/>
    <col min="2304" max="2305" width="12" style="6" customWidth="1"/>
    <col min="2306" max="2306" width="11.140625" style="6" customWidth="1"/>
    <col min="2307" max="2311" width="0" style="6" hidden="1" customWidth="1"/>
    <col min="2312" max="2313" width="8.28515625" style="6" customWidth="1"/>
    <col min="2314" max="2555" width="9.140625" style="6"/>
    <col min="2556" max="2556" width="3.28515625" style="6" customWidth="1"/>
    <col min="2557" max="2557" width="3.42578125" style="6" customWidth="1"/>
    <col min="2558" max="2558" width="76.85546875" style="6" customWidth="1"/>
    <col min="2559" max="2559" width="10.28515625" style="6" customWidth="1"/>
    <col min="2560" max="2561" width="12" style="6" customWidth="1"/>
    <col min="2562" max="2562" width="11.140625" style="6" customWidth="1"/>
    <col min="2563" max="2567" width="0" style="6" hidden="1" customWidth="1"/>
    <col min="2568" max="2569" width="8.28515625" style="6" customWidth="1"/>
    <col min="2570" max="2811" width="9.140625" style="6"/>
    <col min="2812" max="2812" width="3.28515625" style="6" customWidth="1"/>
    <col min="2813" max="2813" width="3.42578125" style="6" customWidth="1"/>
    <col min="2814" max="2814" width="76.85546875" style="6" customWidth="1"/>
    <col min="2815" max="2815" width="10.28515625" style="6" customWidth="1"/>
    <col min="2816" max="2817" width="12" style="6" customWidth="1"/>
    <col min="2818" max="2818" width="11.140625" style="6" customWidth="1"/>
    <col min="2819" max="2823" width="0" style="6" hidden="1" customWidth="1"/>
    <col min="2824" max="2825" width="8.28515625" style="6" customWidth="1"/>
    <col min="2826" max="3067" width="9.140625" style="6"/>
    <col min="3068" max="3068" width="3.28515625" style="6" customWidth="1"/>
    <col min="3069" max="3069" width="3.42578125" style="6" customWidth="1"/>
    <col min="3070" max="3070" width="76.85546875" style="6" customWidth="1"/>
    <col min="3071" max="3071" width="10.28515625" style="6" customWidth="1"/>
    <col min="3072" max="3073" width="12" style="6" customWidth="1"/>
    <col min="3074" max="3074" width="11.140625" style="6" customWidth="1"/>
    <col min="3075" max="3079" width="0" style="6" hidden="1" customWidth="1"/>
    <col min="3080" max="3081" width="8.28515625" style="6" customWidth="1"/>
    <col min="3082" max="3323" width="9.140625" style="6"/>
    <col min="3324" max="3324" width="3.28515625" style="6" customWidth="1"/>
    <col min="3325" max="3325" width="3.42578125" style="6" customWidth="1"/>
    <col min="3326" max="3326" width="76.85546875" style="6" customWidth="1"/>
    <col min="3327" max="3327" width="10.28515625" style="6" customWidth="1"/>
    <col min="3328" max="3329" width="12" style="6" customWidth="1"/>
    <col min="3330" max="3330" width="11.140625" style="6" customWidth="1"/>
    <col min="3331" max="3335" width="0" style="6" hidden="1" customWidth="1"/>
    <col min="3336" max="3337" width="8.28515625" style="6" customWidth="1"/>
    <col min="3338" max="3579" width="9.140625" style="6"/>
    <col min="3580" max="3580" width="3.28515625" style="6" customWidth="1"/>
    <col min="3581" max="3581" width="3.42578125" style="6" customWidth="1"/>
    <col min="3582" max="3582" width="76.85546875" style="6" customWidth="1"/>
    <col min="3583" max="3583" width="10.28515625" style="6" customWidth="1"/>
    <col min="3584" max="3585" width="12" style="6" customWidth="1"/>
    <col min="3586" max="3586" width="11.140625" style="6" customWidth="1"/>
    <col min="3587" max="3591" width="0" style="6" hidden="1" customWidth="1"/>
    <col min="3592" max="3593" width="8.28515625" style="6" customWidth="1"/>
    <col min="3594" max="3835" width="9.140625" style="6"/>
    <col min="3836" max="3836" width="3.28515625" style="6" customWidth="1"/>
    <col min="3837" max="3837" width="3.42578125" style="6" customWidth="1"/>
    <col min="3838" max="3838" width="76.85546875" style="6" customWidth="1"/>
    <col min="3839" max="3839" width="10.28515625" style="6" customWidth="1"/>
    <col min="3840" max="3841" width="12" style="6" customWidth="1"/>
    <col min="3842" max="3842" width="11.140625" style="6" customWidth="1"/>
    <col min="3843" max="3847" width="0" style="6" hidden="1" customWidth="1"/>
    <col min="3848" max="3849" width="8.28515625" style="6" customWidth="1"/>
    <col min="3850" max="4091" width="9.140625" style="6"/>
    <col min="4092" max="4092" width="3.28515625" style="6" customWidth="1"/>
    <col min="4093" max="4093" width="3.42578125" style="6" customWidth="1"/>
    <col min="4094" max="4094" width="76.85546875" style="6" customWidth="1"/>
    <col min="4095" max="4095" width="10.28515625" style="6" customWidth="1"/>
    <col min="4096" max="4097" width="12" style="6" customWidth="1"/>
    <col min="4098" max="4098" width="11.140625" style="6" customWidth="1"/>
    <col min="4099" max="4103" width="0" style="6" hidden="1" customWidth="1"/>
    <col min="4104" max="4105" width="8.28515625" style="6" customWidth="1"/>
    <col min="4106" max="4347" width="9.140625" style="6"/>
    <col min="4348" max="4348" width="3.28515625" style="6" customWidth="1"/>
    <col min="4349" max="4349" width="3.42578125" style="6" customWidth="1"/>
    <col min="4350" max="4350" width="76.85546875" style="6" customWidth="1"/>
    <col min="4351" max="4351" width="10.28515625" style="6" customWidth="1"/>
    <col min="4352" max="4353" width="12" style="6" customWidth="1"/>
    <col min="4354" max="4354" width="11.140625" style="6" customWidth="1"/>
    <col min="4355" max="4359" width="0" style="6" hidden="1" customWidth="1"/>
    <col min="4360" max="4361" width="8.28515625" style="6" customWidth="1"/>
    <col min="4362" max="4603" width="9.140625" style="6"/>
    <col min="4604" max="4604" width="3.28515625" style="6" customWidth="1"/>
    <col min="4605" max="4605" width="3.42578125" style="6" customWidth="1"/>
    <col min="4606" max="4606" width="76.85546875" style="6" customWidth="1"/>
    <col min="4607" max="4607" width="10.28515625" style="6" customWidth="1"/>
    <col min="4608" max="4609" width="12" style="6" customWidth="1"/>
    <col min="4610" max="4610" width="11.140625" style="6" customWidth="1"/>
    <col min="4611" max="4615" width="0" style="6" hidden="1" customWidth="1"/>
    <col min="4616" max="4617" width="8.28515625" style="6" customWidth="1"/>
    <col min="4618" max="4859" width="9.140625" style="6"/>
    <col min="4860" max="4860" width="3.28515625" style="6" customWidth="1"/>
    <col min="4861" max="4861" width="3.42578125" style="6" customWidth="1"/>
    <col min="4862" max="4862" width="76.85546875" style="6" customWidth="1"/>
    <col min="4863" max="4863" width="10.28515625" style="6" customWidth="1"/>
    <col min="4864" max="4865" width="12" style="6" customWidth="1"/>
    <col min="4866" max="4866" width="11.140625" style="6" customWidth="1"/>
    <col min="4867" max="4871" width="0" style="6" hidden="1" customWidth="1"/>
    <col min="4872" max="4873" width="8.28515625" style="6" customWidth="1"/>
    <col min="4874" max="5115" width="9.140625" style="6"/>
    <col min="5116" max="5116" width="3.28515625" style="6" customWidth="1"/>
    <col min="5117" max="5117" width="3.42578125" style="6" customWidth="1"/>
    <col min="5118" max="5118" width="76.85546875" style="6" customWidth="1"/>
    <col min="5119" max="5119" width="10.28515625" style="6" customWidth="1"/>
    <col min="5120" max="5121" width="12" style="6" customWidth="1"/>
    <col min="5122" max="5122" width="11.140625" style="6" customWidth="1"/>
    <col min="5123" max="5127" width="0" style="6" hidden="1" customWidth="1"/>
    <col min="5128" max="5129" width="8.28515625" style="6" customWidth="1"/>
    <col min="5130" max="5371" width="9.140625" style="6"/>
    <col min="5372" max="5372" width="3.28515625" style="6" customWidth="1"/>
    <col min="5373" max="5373" width="3.42578125" style="6" customWidth="1"/>
    <col min="5374" max="5374" width="76.85546875" style="6" customWidth="1"/>
    <col min="5375" max="5375" width="10.28515625" style="6" customWidth="1"/>
    <col min="5376" max="5377" width="12" style="6" customWidth="1"/>
    <col min="5378" max="5378" width="11.140625" style="6" customWidth="1"/>
    <col min="5379" max="5383" width="0" style="6" hidden="1" customWidth="1"/>
    <col min="5384" max="5385" width="8.28515625" style="6" customWidth="1"/>
    <col min="5386" max="5627" width="9.140625" style="6"/>
    <col min="5628" max="5628" width="3.28515625" style="6" customWidth="1"/>
    <col min="5629" max="5629" width="3.42578125" style="6" customWidth="1"/>
    <col min="5630" max="5630" width="76.85546875" style="6" customWidth="1"/>
    <col min="5631" max="5631" width="10.28515625" style="6" customWidth="1"/>
    <col min="5632" max="5633" width="12" style="6" customWidth="1"/>
    <col min="5634" max="5634" width="11.140625" style="6" customWidth="1"/>
    <col min="5635" max="5639" width="0" style="6" hidden="1" customWidth="1"/>
    <col min="5640" max="5641" width="8.28515625" style="6" customWidth="1"/>
    <col min="5642" max="5883" width="9.140625" style="6"/>
    <col min="5884" max="5884" width="3.28515625" style="6" customWidth="1"/>
    <col min="5885" max="5885" width="3.42578125" style="6" customWidth="1"/>
    <col min="5886" max="5886" width="76.85546875" style="6" customWidth="1"/>
    <col min="5887" max="5887" width="10.28515625" style="6" customWidth="1"/>
    <col min="5888" max="5889" width="12" style="6" customWidth="1"/>
    <col min="5890" max="5890" width="11.140625" style="6" customWidth="1"/>
    <col min="5891" max="5895" width="0" style="6" hidden="1" customWidth="1"/>
    <col min="5896" max="5897" width="8.28515625" style="6" customWidth="1"/>
    <col min="5898" max="6139" width="9.140625" style="6"/>
    <col min="6140" max="6140" width="3.28515625" style="6" customWidth="1"/>
    <col min="6141" max="6141" width="3.42578125" style="6" customWidth="1"/>
    <col min="6142" max="6142" width="76.85546875" style="6" customWidth="1"/>
    <col min="6143" max="6143" width="10.28515625" style="6" customWidth="1"/>
    <col min="6144" max="6145" width="12" style="6" customWidth="1"/>
    <col min="6146" max="6146" width="11.140625" style="6" customWidth="1"/>
    <col min="6147" max="6151" width="0" style="6" hidden="1" customWidth="1"/>
    <col min="6152" max="6153" width="8.28515625" style="6" customWidth="1"/>
    <col min="6154" max="6395" width="9.140625" style="6"/>
    <col min="6396" max="6396" width="3.28515625" style="6" customWidth="1"/>
    <col min="6397" max="6397" width="3.42578125" style="6" customWidth="1"/>
    <col min="6398" max="6398" width="76.85546875" style="6" customWidth="1"/>
    <col min="6399" max="6399" width="10.28515625" style="6" customWidth="1"/>
    <col min="6400" max="6401" width="12" style="6" customWidth="1"/>
    <col min="6402" max="6402" width="11.140625" style="6" customWidth="1"/>
    <col min="6403" max="6407" width="0" style="6" hidden="1" customWidth="1"/>
    <col min="6408" max="6409" width="8.28515625" style="6" customWidth="1"/>
    <col min="6410" max="6651" width="9.140625" style="6"/>
    <col min="6652" max="6652" width="3.28515625" style="6" customWidth="1"/>
    <col min="6653" max="6653" width="3.42578125" style="6" customWidth="1"/>
    <col min="6654" max="6654" width="76.85546875" style="6" customWidth="1"/>
    <col min="6655" max="6655" width="10.28515625" style="6" customWidth="1"/>
    <col min="6656" max="6657" width="12" style="6" customWidth="1"/>
    <col min="6658" max="6658" width="11.140625" style="6" customWidth="1"/>
    <col min="6659" max="6663" width="0" style="6" hidden="1" customWidth="1"/>
    <col min="6664" max="6665" width="8.28515625" style="6" customWidth="1"/>
    <col min="6666" max="6907" width="9.140625" style="6"/>
    <col min="6908" max="6908" width="3.28515625" style="6" customWidth="1"/>
    <col min="6909" max="6909" width="3.42578125" style="6" customWidth="1"/>
    <col min="6910" max="6910" width="76.85546875" style="6" customWidth="1"/>
    <col min="6911" max="6911" width="10.28515625" style="6" customWidth="1"/>
    <col min="6912" max="6913" width="12" style="6" customWidth="1"/>
    <col min="6914" max="6914" width="11.140625" style="6" customWidth="1"/>
    <col min="6915" max="6919" width="0" style="6" hidden="1" customWidth="1"/>
    <col min="6920" max="6921" width="8.28515625" style="6" customWidth="1"/>
    <col min="6922" max="7163" width="9.140625" style="6"/>
    <col min="7164" max="7164" width="3.28515625" style="6" customWidth="1"/>
    <col min="7165" max="7165" width="3.42578125" style="6" customWidth="1"/>
    <col min="7166" max="7166" width="76.85546875" style="6" customWidth="1"/>
    <col min="7167" max="7167" width="10.28515625" style="6" customWidth="1"/>
    <col min="7168" max="7169" width="12" style="6" customWidth="1"/>
    <col min="7170" max="7170" width="11.140625" style="6" customWidth="1"/>
    <col min="7171" max="7175" width="0" style="6" hidden="1" customWidth="1"/>
    <col min="7176" max="7177" width="8.28515625" style="6" customWidth="1"/>
    <col min="7178" max="7419" width="9.140625" style="6"/>
    <col min="7420" max="7420" width="3.28515625" style="6" customWidth="1"/>
    <col min="7421" max="7421" width="3.42578125" style="6" customWidth="1"/>
    <col min="7422" max="7422" width="76.85546875" style="6" customWidth="1"/>
    <col min="7423" max="7423" width="10.28515625" style="6" customWidth="1"/>
    <col min="7424" max="7425" width="12" style="6" customWidth="1"/>
    <col min="7426" max="7426" width="11.140625" style="6" customWidth="1"/>
    <col min="7427" max="7431" width="0" style="6" hidden="1" customWidth="1"/>
    <col min="7432" max="7433" width="8.28515625" style="6" customWidth="1"/>
    <col min="7434" max="7675" width="9.140625" style="6"/>
    <col min="7676" max="7676" width="3.28515625" style="6" customWidth="1"/>
    <col min="7677" max="7677" width="3.42578125" style="6" customWidth="1"/>
    <col min="7678" max="7678" width="76.85546875" style="6" customWidth="1"/>
    <col min="7679" max="7679" width="10.28515625" style="6" customWidth="1"/>
    <col min="7680" max="7681" width="12" style="6" customWidth="1"/>
    <col min="7682" max="7682" width="11.140625" style="6" customWidth="1"/>
    <col min="7683" max="7687" width="0" style="6" hidden="1" customWidth="1"/>
    <col min="7688" max="7689" width="8.28515625" style="6" customWidth="1"/>
    <col min="7690" max="7931" width="9.140625" style="6"/>
    <col min="7932" max="7932" width="3.28515625" style="6" customWidth="1"/>
    <col min="7933" max="7933" width="3.42578125" style="6" customWidth="1"/>
    <col min="7934" max="7934" width="76.85546875" style="6" customWidth="1"/>
    <col min="7935" max="7935" width="10.28515625" style="6" customWidth="1"/>
    <col min="7936" max="7937" width="12" style="6" customWidth="1"/>
    <col min="7938" max="7938" width="11.140625" style="6" customWidth="1"/>
    <col min="7939" max="7943" width="0" style="6" hidden="1" customWidth="1"/>
    <col min="7944" max="7945" width="8.28515625" style="6" customWidth="1"/>
    <col min="7946" max="8187" width="9.140625" style="6"/>
    <col min="8188" max="8188" width="3.28515625" style="6" customWidth="1"/>
    <col min="8189" max="8189" width="3.42578125" style="6" customWidth="1"/>
    <col min="8190" max="8190" width="76.85546875" style="6" customWidth="1"/>
    <col min="8191" max="8191" width="10.28515625" style="6" customWidth="1"/>
    <col min="8192" max="8193" width="12" style="6" customWidth="1"/>
    <col min="8194" max="8194" width="11.140625" style="6" customWidth="1"/>
    <col min="8195" max="8199" width="0" style="6" hidden="1" customWidth="1"/>
    <col min="8200" max="8201" width="8.28515625" style="6" customWidth="1"/>
    <col min="8202" max="8443" width="9.140625" style="6"/>
    <col min="8444" max="8444" width="3.28515625" style="6" customWidth="1"/>
    <col min="8445" max="8445" width="3.42578125" style="6" customWidth="1"/>
    <col min="8446" max="8446" width="76.85546875" style="6" customWidth="1"/>
    <col min="8447" max="8447" width="10.28515625" style="6" customWidth="1"/>
    <col min="8448" max="8449" width="12" style="6" customWidth="1"/>
    <col min="8450" max="8450" width="11.140625" style="6" customWidth="1"/>
    <col min="8451" max="8455" width="0" style="6" hidden="1" customWidth="1"/>
    <col min="8456" max="8457" width="8.28515625" style="6" customWidth="1"/>
    <col min="8458" max="8699" width="9.140625" style="6"/>
    <col min="8700" max="8700" width="3.28515625" style="6" customWidth="1"/>
    <col min="8701" max="8701" width="3.42578125" style="6" customWidth="1"/>
    <col min="8702" max="8702" width="76.85546875" style="6" customWidth="1"/>
    <col min="8703" max="8703" width="10.28515625" style="6" customWidth="1"/>
    <col min="8704" max="8705" width="12" style="6" customWidth="1"/>
    <col min="8706" max="8706" width="11.140625" style="6" customWidth="1"/>
    <col min="8707" max="8711" width="0" style="6" hidden="1" customWidth="1"/>
    <col min="8712" max="8713" width="8.28515625" style="6" customWidth="1"/>
    <col min="8714" max="8955" width="9.140625" style="6"/>
    <col min="8956" max="8956" width="3.28515625" style="6" customWidth="1"/>
    <col min="8957" max="8957" width="3.42578125" style="6" customWidth="1"/>
    <col min="8958" max="8958" width="76.85546875" style="6" customWidth="1"/>
    <col min="8959" max="8959" width="10.28515625" style="6" customWidth="1"/>
    <col min="8960" max="8961" width="12" style="6" customWidth="1"/>
    <col min="8962" max="8962" width="11.140625" style="6" customWidth="1"/>
    <col min="8963" max="8967" width="0" style="6" hidden="1" customWidth="1"/>
    <col min="8968" max="8969" width="8.28515625" style="6" customWidth="1"/>
    <col min="8970" max="9211" width="9.140625" style="6"/>
    <col min="9212" max="9212" width="3.28515625" style="6" customWidth="1"/>
    <col min="9213" max="9213" width="3.42578125" style="6" customWidth="1"/>
    <col min="9214" max="9214" width="76.85546875" style="6" customWidth="1"/>
    <col min="9215" max="9215" width="10.28515625" style="6" customWidth="1"/>
    <col min="9216" max="9217" width="12" style="6" customWidth="1"/>
    <col min="9218" max="9218" width="11.140625" style="6" customWidth="1"/>
    <col min="9219" max="9223" width="0" style="6" hidden="1" customWidth="1"/>
    <col min="9224" max="9225" width="8.28515625" style="6" customWidth="1"/>
    <col min="9226" max="9467" width="9.140625" style="6"/>
    <col min="9468" max="9468" width="3.28515625" style="6" customWidth="1"/>
    <col min="9469" max="9469" width="3.42578125" style="6" customWidth="1"/>
    <col min="9470" max="9470" width="76.85546875" style="6" customWidth="1"/>
    <col min="9471" max="9471" width="10.28515625" style="6" customWidth="1"/>
    <col min="9472" max="9473" width="12" style="6" customWidth="1"/>
    <col min="9474" max="9474" width="11.140625" style="6" customWidth="1"/>
    <col min="9475" max="9479" width="0" style="6" hidden="1" customWidth="1"/>
    <col min="9480" max="9481" width="8.28515625" style="6" customWidth="1"/>
    <col min="9482" max="9723" width="9.140625" style="6"/>
    <col min="9724" max="9724" width="3.28515625" style="6" customWidth="1"/>
    <col min="9725" max="9725" width="3.42578125" style="6" customWidth="1"/>
    <col min="9726" max="9726" width="76.85546875" style="6" customWidth="1"/>
    <col min="9727" max="9727" width="10.28515625" style="6" customWidth="1"/>
    <col min="9728" max="9729" width="12" style="6" customWidth="1"/>
    <col min="9730" max="9730" width="11.140625" style="6" customWidth="1"/>
    <col min="9731" max="9735" width="0" style="6" hidden="1" customWidth="1"/>
    <col min="9736" max="9737" width="8.28515625" style="6" customWidth="1"/>
    <col min="9738" max="9979" width="9.140625" style="6"/>
    <col min="9980" max="9980" width="3.28515625" style="6" customWidth="1"/>
    <col min="9981" max="9981" width="3.42578125" style="6" customWidth="1"/>
    <col min="9982" max="9982" width="76.85546875" style="6" customWidth="1"/>
    <col min="9983" max="9983" width="10.28515625" style="6" customWidth="1"/>
    <col min="9984" max="9985" width="12" style="6" customWidth="1"/>
    <col min="9986" max="9986" width="11.140625" style="6" customWidth="1"/>
    <col min="9987" max="9991" width="0" style="6" hidden="1" customWidth="1"/>
    <col min="9992" max="9993" width="8.28515625" style="6" customWidth="1"/>
    <col min="9994" max="10235" width="9.140625" style="6"/>
    <col min="10236" max="10236" width="3.28515625" style="6" customWidth="1"/>
    <col min="10237" max="10237" width="3.42578125" style="6" customWidth="1"/>
    <col min="10238" max="10238" width="76.85546875" style="6" customWidth="1"/>
    <col min="10239" max="10239" width="10.28515625" style="6" customWidth="1"/>
    <col min="10240" max="10241" width="12" style="6" customWidth="1"/>
    <col min="10242" max="10242" width="11.140625" style="6" customWidth="1"/>
    <col min="10243" max="10247" width="0" style="6" hidden="1" customWidth="1"/>
    <col min="10248" max="10249" width="8.28515625" style="6" customWidth="1"/>
    <col min="10250" max="10491" width="9.140625" style="6"/>
    <col min="10492" max="10492" width="3.28515625" style="6" customWidth="1"/>
    <col min="10493" max="10493" width="3.42578125" style="6" customWidth="1"/>
    <col min="10494" max="10494" width="76.85546875" style="6" customWidth="1"/>
    <col min="10495" max="10495" width="10.28515625" style="6" customWidth="1"/>
    <col min="10496" max="10497" width="12" style="6" customWidth="1"/>
    <col min="10498" max="10498" width="11.140625" style="6" customWidth="1"/>
    <col min="10499" max="10503" width="0" style="6" hidden="1" customWidth="1"/>
    <col min="10504" max="10505" width="8.28515625" style="6" customWidth="1"/>
    <col min="10506" max="10747" width="9.140625" style="6"/>
    <col min="10748" max="10748" width="3.28515625" style="6" customWidth="1"/>
    <col min="10749" max="10749" width="3.42578125" style="6" customWidth="1"/>
    <col min="10750" max="10750" width="76.85546875" style="6" customWidth="1"/>
    <col min="10751" max="10751" width="10.28515625" style="6" customWidth="1"/>
    <col min="10752" max="10753" width="12" style="6" customWidth="1"/>
    <col min="10754" max="10754" width="11.140625" style="6" customWidth="1"/>
    <col min="10755" max="10759" width="0" style="6" hidden="1" customWidth="1"/>
    <col min="10760" max="10761" width="8.28515625" style="6" customWidth="1"/>
    <col min="10762" max="11003" width="9.140625" style="6"/>
    <col min="11004" max="11004" width="3.28515625" style="6" customWidth="1"/>
    <col min="11005" max="11005" width="3.42578125" style="6" customWidth="1"/>
    <col min="11006" max="11006" width="76.85546875" style="6" customWidth="1"/>
    <col min="11007" max="11007" width="10.28515625" style="6" customWidth="1"/>
    <col min="11008" max="11009" width="12" style="6" customWidth="1"/>
    <col min="11010" max="11010" width="11.140625" style="6" customWidth="1"/>
    <col min="11011" max="11015" width="0" style="6" hidden="1" customWidth="1"/>
    <col min="11016" max="11017" width="8.28515625" style="6" customWidth="1"/>
    <col min="11018" max="11259" width="9.140625" style="6"/>
    <col min="11260" max="11260" width="3.28515625" style="6" customWidth="1"/>
    <col min="11261" max="11261" width="3.42578125" style="6" customWidth="1"/>
    <col min="11262" max="11262" width="76.85546875" style="6" customWidth="1"/>
    <col min="11263" max="11263" width="10.28515625" style="6" customWidth="1"/>
    <col min="11264" max="11265" width="12" style="6" customWidth="1"/>
    <col min="11266" max="11266" width="11.140625" style="6" customWidth="1"/>
    <col min="11267" max="11271" width="0" style="6" hidden="1" customWidth="1"/>
    <col min="11272" max="11273" width="8.28515625" style="6" customWidth="1"/>
    <col min="11274" max="11515" width="9.140625" style="6"/>
    <col min="11516" max="11516" width="3.28515625" style="6" customWidth="1"/>
    <col min="11517" max="11517" width="3.42578125" style="6" customWidth="1"/>
    <col min="11518" max="11518" width="76.85546875" style="6" customWidth="1"/>
    <col min="11519" max="11519" width="10.28515625" style="6" customWidth="1"/>
    <col min="11520" max="11521" width="12" style="6" customWidth="1"/>
    <col min="11522" max="11522" width="11.140625" style="6" customWidth="1"/>
    <col min="11523" max="11527" width="0" style="6" hidden="1" customWidth="1"/>
    <col min="11528" max="11529" width="8.28515625" style="6" customWidth="1"/>
    <col min="11530" max="11771" width="9.140625" style="6"/>
    <col min="11772" max="11772" width="3.28515625" style="6" customWidth="1"/>
    <col min="11773" max="11773" width="3.42578125" style="6" customWidth="1"/>
    <col min="11774" max="11774" width="76.85546875" style="6" customWidth="1"/>
    <col min="11775" max="11775" width="10.28515625" style="6" customWidth="1"/>
    <col min="11776" max="11777" width="12" style="6" customWidth="1"/>
    <col min="11778" max="11778" width="11.140625" style="6" customWidth="1"/>
    <col min="11779" max="11783" width="0" style="6" hidden="1" customWidth="1"/>
    <col min="11784" max="11785" width="8.28515625" style="6" customWidth="1"/>
    <col min="11786" max="12027" width="9.140625" style="6"/>
    <col min="12028" max="12028" width="3.28515625" style="6" customWidth="1"/>
    <col min="12029" max="12029" width="3.42578125" style="6" customWidth="1"/>
    <col min="12030" max="12030" width="76.85546875" style="6" customWidth="1"/>
    <col min="12031" max="12031" width="10.28515625" style="6" customWidth="1"/>
    <col min="12032" max="12033" width="12" style="6" customWidth="1"/>
    <col min="12034" max="12034" width="11.140625" style="6" customWidth="1"/>
    <col min="12035" max="12039" width="0" style="6" hidden="1" customWidth="1"/>
    <col min="12040" max="12041" width="8.28515625" style="6" customWidth="1"/>
    <col min="12042" max="12283" width="9.140625" style="6"/>
    <col min="12284" max="12284" width="3.28515625" style="6" customWidth="1"/>
    <col min="12285" max="12285" width="3.42578125" style="6" customWidth="1"/>
    <col min="12286" max="12286" width="76.85546875" style="6" customWidth="1"/>
    <col min="12287" max="12287" width="10.28515625" style="6" customWidth="1"/>
    <col min="12288" max="12289" width="12" style="6" customWidth="1"/>
    <col min="12290" max="12290" width="11.140625" style="6" customWidth="1"/>
    <col min="12291" max="12295" width="0" style="6" hidden="1" customWidth="1"/>
    <col min="12296" max="12297" width="8.28515625" style="6" customWidth="1"/>
    <col min="12298" max="12539" width="9.140625" style="6"/>
    <col min="12540" max="12540" width="3.28515625" style="6" customWidth="1"/>
    <col min="12541" max="12541" width="3.42578125" style="6" customWidth="1"/>
    <col min="12542" max="12542" width="76.85546875" style="6" customWidth="1"/>
    <col min="12543" max="12543" width="10.28515625" style="6" customWidth="1"/>
    <col min="12544" max="12545" width="12" style="6" customWidth="1"/>
    <col min="12546" max="12546" width="11.140625" style="6" customWidth="1"/>
    <col min="12547" max="12551" width="0" style="6" hidden="1" customWidth="1"/>
    <col min="12552" max="12553" width="8.28515625" style="6" customWidth="1"/>
    <col min="12554" max="12795" width="9.140625" style="6"/>
    <col min="12796" max="12796" width="3.28515625" style="6" customWidth="1"/>
    <col min="12797" max="12797" width="3.42578125" style="6" customWidth="1"/>
    <col min="12798" max="12798" width="76.85546875" style="6" customWidth="1"/>
    <col min="12799" max="12799" width="10.28515625" style="6" customWidth="1"/>
    <col min="12800" max="12801" width="12" style="6" customWidth="1"/>
    <col min="12802" max="12802" width="11.140625" style="6" customWidth="1"/>
    <col min="12803" max="12807" width="0" style="6" hidden="1" customWidth="1"/>
    <col min="12808" max="12809" width="8.28515625" style="6" customWidth="1"/>
    <col min="12810" max="13051" width="9.140625" style="6"/>
    <col min="13052" max="13052" width="3.28515625" style="6" customWidth="1"/>
    <col min="13053" max="13053" width="3.42578125" style="6" customWidth="1"/>
    <col min="13054" max="13054" width="76.85546875" style="6" customWidth="1"/>
    <col min="13055" max="13055" width="10.28515625" style="6" customWidth="1"/>
    <col min="13056" max="13057" width="12" style="6" customWidth="1"/>
    <col min="13058" max="13058" width="11.140625" style="6" customWidth="1"/>
    <col min="13059" max="13063" width="0" style="6" hidden="1" customWidth="1"/>
    <col min="13064" max="13065" width="8.28515625" style="6" customWidth="1"/>
    <col min="13066" max="13307" width="9.140625" style="6"/>
    <col min="13308" max="13308" width="3.28515625" style="6" customWidth="1"/>
    <col min="13309" max="13309" width="3.42578125" style="6" customWidth="1"/>
    <col min="13310" max="13310" width="76.85546875" style="6" customWidth="1"/>
    <col min="13311" max="13311" width="10.28515625" style="6" customWidth="1"/>
    <col min="13312" max="13313" width="12" style="6" customWidth="1"/>
    <col min="13314" max="13314" width="11.140625" style="6" customWidth="1"/>
    <col min="13315" max="13319" width="0" style="6" hidden="1" customWidth="1"/>
    <col min="13320" max="13321" width="8.28515625" style="6" customWidth="1"/>
    <col min="13322" max="13563" width="9.140625" style="6"/>
    <col min="13564" max="13564" width="3.28515625" style="6" customWidth="1"/>
    <col min="13565" max="13565" width="3.42578125" style="6" customWidth="1"/>
    <col min="13566" max="13566" width="76.85546875" style="6" customWidth="1"/>
    <col min="13567" max="13567" width="10.28515625" style="6" customWidth="1"/>
    <col min="13568" max="13569" width="12" style="6" customWidth="1"/>
    <col min="13570" max="13570" width="11.140625" style="6" customWidth="1"/>
    <col min="13571" max="13575" width="0" style="6" hidden="1" customWidth="1"/>
    <col min="13576" max="13577" width="8.28515625" style="6" customWidth="1"/>
    <col min="13578" max="13819" width="9.140625" style="6"/>
    <col min="13820" max="13820" width="3.28515625" style="6" customWidth="1"/>
    <col min="13821" max="13821" width="3.42578125" style="6" customWidth="1"/>
    <col min="13822" max="13822" width="76.85546875" style="6" customWidth="1"/>
    <col min="13823" max="13823" width="10.28515625" style="6" customWidth="1"/>
    <col min="13824" max="13825" width="12" style="6" customWidth="1"/>
    <col min="13826" max="13826" width="11.140625" style="6" customWidth="1"/>
    <col min="13827" max="13831" width="0" style="6" hidden="1" customWidth="1"/>
    <col min="13832" max="13833" width="8.28515625" style="6" customWidth="1"/>
    <col min="13834" max="14075" width="9.140625" style="6"/>
    <col min="14076" max="14076" width="3.28515625" style="6" customWidth="1"/>
    <col min="14077" max="14077" width="3.42578125" style="6" customWidth="1"/>
    <col min="14078" max="14078" width="76.85546875" style="6" customWidth="1"/>
    <col min="14079" max="14079" width="10.28515625" style="6" customWidth="1"/>
    <col min="14080" max="14081" width="12" style="6" customWidth="1"/>
    <col min="14082" max="14082" width="11.140625" style="6" customWidth="1"/>
    <col min="14083" max="14087" width="0" style="6" hidden="1" customWidth="1"/>
    <col min="14088" max="14089" width="8.28515625" style="6" customWidth="1"/>
    <col min="14090" max="14331" width="9.140625" style="6"/>
    <col min="14332" max="14332" width="3.28515625" style="6" customWidth="1"/>
    <col min="14333" max="14333" width="3.42578125" style="6" customWidth="1"/>
    <col min="14334" max="14334" width="76.85546875" style="6" customWidth="1"/>
    <col min="14335" max="14335" width="10.28515625" style="6" customWidth="1"/>
    <col min="14336" max="14337" width="12" style="6" customWidth="1"/>
    <col min="14338" max="14338" width="11.140625" style="6" customWidth="1"/>
    <col min="14339" max="14343" width="0" style="6" hidden="1" customWidth="1"/>
    <col min="14344" max="14345" width="8.28515625" style="6" customWidth="1"/>
    <col min="14346" max="14587" width="9.140625" style="6"/>
    <col min="14588" max="14588" width="3.28515625" style="6" customWidth="1"/>
    <col min="14589" max="14589" width="3.42578125" style="6" customWidth="1"/>
    <col min="14590" max="14590" width="76.85546875" style="6" customWidth="1"/>
    <col min="14591" max="14591" width="10.28515625" style="6" customWidth="1"/>
    <col min="14592" max="14593" width="12" style="6" customWidth="1"/>
    <col min="14594" max="14594" width="11.140625" style="6" customWidth="1"/>
    <col min="14595" max="14599" width="0" style="6" hidden="1" customWidth="1"/>
    <col min="14600" max="14601" width="8.28515625" style="6" customWidth="1"/>
    <col min="14602" max="14843" width="9.140625" style="6"/>
    <col min="14844" max="14844" width="3.28515625" style="6" customWidth="1"/>
    <col min="14845" max="14845" width="3.42578125" style="6" customWidth="1"/>
    <col min="14846" max="14846" width="76.85546875" style="6" customWidth="1"/>
    <col min="14847" max="14847" width="10.28515625" style="6" customWidth="1"/>
    <col min="14848" max="14849" width="12" style="6" customWidth="1"/>
    <col min="14850" max="14850" width="11.140625" style="6" customWidth="1"/>
    <col min="14851" max="14855" width="0" style="6" hidden="1" customWidth="1"/>
    <col min="14856" max="14857" width="8.28515625" style="6" customWidth="1"/>
    <col min="14858" max="15099" width="9.140625" style="6"/>
    <col min="15100" max="15100" width="3.28515625" style="6" customWidth="1"/>
    <col min="15101" max="15101" width="3.42578125" style="6" customWidth="1"/>
    <col min="15102" max="15102" width="76.85546875" style="6" customWidth="1"/>
    <col min="15103" max="15103" width="10.28515625" style="6" customWidth="1"/>
    <col min="15104" max="15105" width="12" style="6" customWidth="1"/>
    <col min="15106" max="15106" width="11.140625" style="6" customWidth="1"/>
    <col min="15107" max="15111" width="0" style="6" hidden="1" customWidth="1"/>
    <col min="15112" max="15113" width="8.28515625" style="6" customWidth="1"/>
    <col min="15114" max="15355" width="9.140625" style="6"/>
    <col min="15356" max="15356" width="3.28515625" style="6" customWidth="1"/>
    <col min="15357" max="15357" width="3.42578125" style="6" customWidth="1"/>
    <col min="15358" max="15358" width="76.85546875" style="6" customWidth="1"/>
    <col min="15359" max="15359" width="10.28515625" style="6" customWidth="1"/>
    <col min="15360" max="15361" width="12" style="6" customWidth="1"/>
    <col min="15362" max="15362" width="11.140625" style="6" customWidth="1"/>
    <col min="15363" max="15367" width="0" style="6" hidden="1" customWidth="1"/>
    <col min="15368" max="15369" width="8.28515625" style="6" customWidth="1"/>
    <col min="15370" max="15611" width="9.140625" style="6"/>
    <col min="15612" max="15612" width="3.28515625" style="6" customWidth="1"/>
    <col min="15613" max="15613" width="3.42578125" style="6" customWidth="1"/>
    <col min="15614" max="15614" width="76.85546875" style="6" customWidth="1"/>
    <col min="15615" max="15615" width="10.28515625" style="6" customWidth="1"/>
    <col min="15616" max="15617" width="12" style="6" customWidth="1"/>
    <col min="15618" max="15618" width="11.140625" style="6" customWidth="1"/>
    <col min="15619" max="15623" width="0" style="6" hidden="1" customWidth="1"/>
    <col min="15624" max="15625" width="8.28515625" style="6" customWidth="1"/>
    <col min="15626" max="15867" width="9.140625" style="6"/>
    <col min="15868" max="15868" width="3.28515625" style="6" customWidth="1"/>
    <col min="15869" max="15869" width="3.42578125" style="6" customWidth="1"/>
    <col min="15870" max="15870" width="76.85546875" style="6" customWidth="1"/>
    <col min="15871" max="15871" width="10.28515625" style="6" customWidth="1"/>
    <col min="15872" max="15873" width="12" style="6" customWidth="1"/>
    <col min="15874" max="15874" width="11.140625" style="6" customWidth="1"/>
    <col min="15875" max="15879" width="0" style="6" hidden="1" customWidth="1"/>
    <col min="15880" max="15881" width="8.28515625" style="6" customWidth="1"/>
    <col min="15882" max="16123" width="9.140625" style="6"/>
    <col min="16124" max="16124" width="3.28515625" style="6" customWidth="1"/>
    <col min="16125" max="16125" width="3.42578125" style="6" customWidth="1"/>
    <col min="16126" max="16126" width="76.85546875" style="6" customWidth="1"/>
    <col min="16127" max="16127" width="10.28515625" style="6" customWidth="1"/>
    <col min="16128" max="16129" width="12" style="6" customWidth="1"/>
    <col min="16130" max="16130" width="11.140625" style="6" customWidth="1"/>
    <col min="16131" max="16135" width="0" style="6" hidden="1" customWidth="1"/>
    <col min="16136" max="16137" width="8.28515625" style="6" customWidth="1"/>
    <col min="16138" max="16384" width="9.140625" style="6"/>
  </cols>
  <sheetData>
    <row r="1" spans="1:27">
      <c r="A1" s="6" t="s">
        <v>0</v>
      </c>
      <c r="F1" s="6" t="s">
        <v>344</v>
      </c>
      <c r="G1" s="6"/>
    </row>
    <row r="2" spans="1:27">
      <c r="A2" s="6" t="s">
        <v>2</v>
      </c>
      <c r="F2" s="6" t="s">
        <v>428</v>
      </c>
      <c r="G2" s="6"/>
    </row>
    <row r="3" spans="1:27">
      <c r="A3" s="6" t="s">
        <v>345</v>
      </c>
      <c r="F3" s="6" t="s">
        <v>409</v>
      </c>
      <c r="G3" s="6"/>
    </row>
    <row r="4" spans="1:27">
      <c r="A4" s="6" t="s">
        <v>4</v>
      </c>
    </row>
    <row r="5" spans="1:27" ht="15.75">
      <c r="A5" s="301" t="s">
        <v>346</v>
      </c>
      <c r="B5" s="301"/>
      <c r="C5" s="301"/>
      <c r="D5" s="301"/>
      <c r="E5" s="301"/>
      <c r="F5" s="301"/>
      <c r="G5" s="301"/>
      <c r="H5" s="301"/>
      <c r="I5" s="301"/>
    </row>
    <row r="6" spans="1:27" ht="18" customHeight="1">
      <c r="A6" s="302" t="s">
        <v>427</v>
      </c>
      <c r="B6" s="302"/>
      <c r="C6" s="302"/>
      <c r="D6" s="302"/>
      <c r="E6" s="302"/>
      <c r="F6" s="302"/>
      <c r="G6" s="302"/>
      <c r="H6" s="302"/>
      <c r="I6" s="302"/>
    </row>
    <row r="7" spans="1:27" ht="15" customHeight="1">
      <c r="A7" s="303" t="s">
        <v>5</v>
      </c>
      <c r="B7" s="303"/>
      <c r="C7" s="303"/>
      <c r="D7" s="303"/>
      <c r="E7" s="303"/>
      <c r="F7" s="303"/>
      <c r="G7" s="303"/>
      <c r="H7" s="303"/>
      <c r="I7" s="303"/>
    </row>
    <row r="8" spans="1:27" s="86" customFormat="1" ht="25.5" customHeight="1">
      <c r="A8" s="304"/>
      <c r="B8" s="304"/>
      <c r="C8" s="304" t="s">
        <v>6</v>
      </c>
      <c r="D8" s="304" t="s">
        <v>347</v>
      </c>
      <c r="E8" s="305" t="s">
        <v>348</v>
      </c>
      <c r="F8" s="306"/>
      <c r="G8" s="305" t="s">
        <v>349</v>
      </c>
      <c r="H8" s="310"/>
      <c r="I8" s="306"/>
    </row>
    <row r="9" spans="1:27" s="86" customFormat="1" ht="14.25" customHeight="1">
      <c r="A9" s="304"/>
      <c r="B9" s="304"/>
      <c r="C9" s="304"/>
      <c r="D9" s="304"/>
      <c r="E9" s="307" t="s">
        <v>418</v>
      </c>
      <c r="F9" s="318" t="s">
        <v>423</v>
      </c>
      <c r="G9" s="311" t="s">
        <v>411</v>
      </c>
      <c r="H9" s="312"/>
      <c r="I9" s="313"/>
    </row>
    <row r="10" spans="1:27" s="86" customFormat="1" ht="14.25" customHeight="1">
      <c r="A10" s="304"/>
      <c r="B10" s="304"/>
      <c r="C10" s="304"/>
      <c r="D10" s="304"/>
      <c r="E10" s="308"/>
      <c r="F10" s="319"/>
      <c r="G10" s="314" t="s">
        <v>424</v>
      </c>
      <c r="H10" s="305" t="s">
        <v>412</v>
      </c>
      <c r="I10" s="306"/>
    </row>
    <row r="11" spans="1:27" s="116" customFormat="1" ht="53.25" customHeight="1">
      <c r="A11" s="304"/>
      <c r="B11" s="304"/>
      <c r="C11" s="304"/>
      <c r="D11" s="304"/>
      <c r="E11" s="309"/>
      <c r="F11" s="320"/>
      <c r="G11" s="315"/>
      <c r="H11" s="115" t="s">
        <v>425</v>
      </c>
      <c r="I11" s="115" t="s">
        <v>426</v>
      </c>
    </row>
    <row r="12" spans="1:27" s="88" customFormat="1">
      <c r="A12" s="87">
        <v>0</v>
      </c>
      <c r="B12" s="87">
        <v>1</v>
      </c>
      <c r="C12" s="87">
        <v>2</v>
      </c>
      <c r="D12" s="87">
        <v>3</v>
      </c>
      <c r="E12" s="87">
        <v>4</v>
      </c>
      <c r="F12" s="87">
        <v>5</v>
      </c>
      <c r="G12" s="117">
        <v>6</v>
      </c>
      <c r="H12" s="87">
        <v>7</v>
      </c>
      <c r="I12" s="87">
        <v>8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5.75">
      <c r="A13" s="89" t="s">
        <v>12</v>
      </c>
      <c r="B13" s="90"/>
      <c r="C13" s="91" t="s">
        <v>80</v>
      </c>
      <c r="D13" s="91"/>
      <c r="E13" s="92">
        <f t="shared" ref="E13:F13" si="0">E14</f>
        <v>537.04999999999995</v>
      </c>
      <c r="F13" s="92">
        <f t="shared" si="0"/>
        <v>343.76</v>
      </c>
      <c r="G13" s="92">
        <f t="shared" ref="G13:I13" si="1">G14</f>
        <v>247.66</v>
      </c>
      <c r="H13" s="93">
        <f t="shared" si="1"/>
        <v>0</v>
      </c>
      <c r="I13" s="93">
        <f t="shared" si="1"/>
        <v>0</v>
      </c>
    </row>
    <row r="14" spans="1:27" ht="15.75">
      <c r="A14" s="89"/>
      <c r="B14" s="90">
        <v>1</v>
      </c>
      <c r="C14" s="91" t="s">
        <v>350</v>
      </c>
      <c r="D14" s="91"/>
      <c r="E14" s="92">
        <f t="shared" ref="E14:F14" si="2">E15+E16+E17</f>
        <v>537.04999999999995</v>
      </c>
      <c r="F14" s="92">
        <f t="shared" si="2"/>
        <v>343.76</v>
      </c>
      <c r="G14" s="92">
        <f t="shared" ref="G14" si="3">G15+G16+G17</f>
        <v>247.66</v>
      </c>
      <c r="H14" s="92">
        <f>H15+H16</f>
        <v>0</v>
      </c>
      <c r="I14" s="92">
        <f>I15+I16</f>
        <v>0</v>
      </c>
    </row>
    <row r="15" spans="1:27" ht="15.75">
      <c r="A15" s="94"/>
      <c r="B15" s="95"/>
      <c r="C15" s="96" t="s">
        <v>351</v>
      </c>
      <c r="D15" s="96"/>
      <c r="E15" s="103">
        <v>124</v>
      </c>
      <c r="F15" s="178">
        <v>0</v>
      </c>
      <c r="G15" s="127">
        <v>0</v>
      </c>
      <c r="H15" s="97">
        <v>0</v>
      </c>
      <c r="I15" s="97">
        <v>0</v>
      </c>
    </row>
    <row r="16" spans="1:27" ht="15.75">
      <c r="A16" s="94"/>
      <c r="B16" s="95"/>
      <c r="C16" s="96" t="s">
        <v>416</v>
      </c>
      <c r="D16" s="96"/>
      <c r="E16" s="103">
        <v>300</v>
      </c>
      <c r="F16" s="178">
        <v>300</v>
      </c>
      <c r="G16" s="127">
        <v>0</v>
      </c>
      <c r="H16" s="97">
        <v>0</v>
      </c>
      <c r="I16" s="97">
        <v>0</v>
      </c>
    </row>
    <row r="17" spans="1:12" ht="15.75">
      <c r="A17" s="94"/>
      <c r="B17" s="95"/>
      <c r="C17" s="96" t="s">
        <v>352</v>
      </c>
      <c r="D17" s="96"/>
      <c r="E17" s="103">
        <v>113.05</v>
      </c>
      <c r="F17" s="178">
        <v>43.76</v>
      </c>
      <c r="G17" s="127">
        <v>247.66</v>
      </c>
      <c r="H17" s="97"/>
      <c r="I17" s="97"/>
      <c r="K17" s="85"/>
    </row>
    <row r="18" spans="1:12" ht="15.75">
      <c r="A18" s="94"/>
      <c r="B18" s="94">
        <v>2</v>
      </c>
      <c r="C18" s="98" t="s">
        <v>81</v>
      </c>
      <c r="D18" s="98"/>
      <c r="E18" s="174">
        <v>0</v>
      </c>
      <c r="F18" s="178">
        <v>0</v>
      </c>
      <c r="G18" s="128">
        <v>0</v>
      </c>
      <c r="H18" s="98">
        <v>0</v>
      </c>
      <c r="I18" s="98"/>
    </row>
    <row r="19" spans="1:12" ht="15.75">
      <c r="A19" s="94"/>
      <c r="B19" s="94">
        <v>3</v>
      </c>
      <c r="C19" s="98" t="s">
        <v>353</v>
      </c>
      <c r="D19" s="98"/>
      <c r="E19" s="175">
        <v>0</v>
      </c>
      <c r="F19" s="178">
        <v>0</v>
      </c>
      <c r="G19" s="129">
        <v>0</v>
      </c>
      <c r="H19" s="98">
        <f>SUM(H20:H21)</f>
        <v>0</v>
      </c>
      <c r="I19" s="98">
        <f>SUM(I20:I21)</f>
        <v>0</v>
      </c>
    </row>
    <row r="20" spans="1:12" ht="15.75">
      <c r="A20" s="94"/>
      <c r="B20" s="94"/>
      <c r="C20" s="98" t="s">
        <v>354</v>
      </c>
      <c r="D20" s="98"/>
      <c r="E20" s="175">
        <v>0</v>
      </c>
      <c r="F20" s="178">
        <v>0</v>
      </c>
      <c r="G20" s="129">
        <v>0</v>
      </c>
      <c r="H20" s="98"/>
      <c r="I20" s="98"/>
    </row>
    <row r="21" spans="1:12" ht="15.75">
      <c r="A21" s="94"/>
      <c r="B21" s="94"/>
      <c r="C21" s="98" t="s">
        <v>355</v>
      </c>
      <c r="D21" s="98"/>
      <c r="E21" s="175">
        <v>0</v>
      </c>
      <c r="F21" s="178">
        <v>0</v>
      </c>
      <c r="G21" s="129">
        <v>0</v>
      </c>
      <c r="H21" s="98"/>
      <c r="I21" s="98"/>
      <c r="L21" s="85"/>
    </row>
    <row r="22" spans="1:12" ht="15.75">
      <c r="A22" s="94"/>
      <c r="B22" s="94">
        <v>4</v>
      </c>
      <c r="C22" s="98" t="s">
        <v>356</v>
      </c>
      <c r="D22" s="98"/>
      <c r="E22" s="175">
        <v>0</v>
      </c>
      <c r="F22" s="178">
        <v>0</v>
      </c>
      <c r="G22" s="129">
        <v>0</v>
      </c>
      <c r="H22" s="98">
        <f>SUM(H23:H24)</f>
        <v>0</v>
      </c>
      <c r="I22" s="98">
        <f>SUM(I23:I24)</f>
        <v>0</v>
      </c>
    </row>
    <row r="23" spans="1:12" ht="15.75">
      <c r="A23" s="94"/>
      <c r="B23" s="94"/>
      <c r="C23" s="98" t="s">
        <v>357</v>
      </c>
      <c r="D23" s="98"/>
      <c r="E23" s="175">
        <v>0</v>
      </c>
      <c r="F23" s="178">
        <v>0</v>
      </c>
      <c r="G23" s="129">
        <v>0</v>
      </c>
      <c r="H23" s="98"/>
      <c r="I23" s="98"/>
    </row>
    <row r="24" spans="1:12" ht="15.75">
      <c r="A24" s="94"/>
      <c r="B24" s="94"/>
      <c r="C24" s="98" t="s">
        <v>358</v>
      </c>
      <c r="D24" s="98"/>
      <c r="E24" s="175">
        <v>0</v>
      </c>
      <c r="F24" s="178">
        <v>0</v>
      </c>
      <c r="G24" s="129">
        <v>0</v>
      </c>
      <c r="H24" s="98"/>
      <c r="I24" s="98"/>
    </row>
    <row r="25" spans="1:12" ht="15.75" customHeight="1">
      <c r="A25" s="90" t="s">
        <v>20</v>
      </c>
      <c r="B25" s="90"/>
      <c r="C25" s="91" t="s">
        <v>359</v>
      </c>
      <c r="D25" s="91">
        <f>D26+D38+D62+D75+D76</f>
        <v>0</v>
      </c>
      <c r="E25" s="92">
        <f t="shared" ref="E25:F25" si="4">E26+E38+E59+E73+E74</f>
        <v>537.04999999999995</v>
      </c>
      <c r="F25" s="92">
        <f t="shared" si="4"/>
        <v>343.76</v>
      </c>
      <c r="G25" s="92">
        <f t="shared" ref="G25" si="5">G26+G38+G59+G73+G74</f>
        <v>267.66000000000003</v>
      </c>
      <c r="H25" s="91">
        <f>H26+H38+H62+H75+H76</f>
        <v>0</v>
      </c>
      <c r="I25" s="91">
        <f>I26+I38+I62+I75+I76</f>
        <v>0</v>
      </c>
    </row>
    <row r="26" spans="1:12" ht="15.75">
      <c r="A26" s="89"/>
      <c r="B26" s="89">
        <v>1</v>
      </c>
      <c r="C26" s="99" t="s">
        <v>360</v>
      </c>
      <c r="D26" s="99">
        <f t="shared" ref="D26:I26" si="6">D27+D31+D32+D35</f>
        <v>0</v>
      </c>
      <c r="E26" s="92">
        <f t="shared" si="6"/>
        <v>0</v>
      </c>
      <c r="F26" s="92">
        <f t="shared" si="6"/>
        <v>0</v>
      </c>
      <c r="G26" s="92">
        <f t="shared" si="6"/>
        <v>0</v>
      </c>
      <c r="H26" s="99">
        <f t="shared" si="6"/>
        <v>0</v>
      </c>
      <c r="I26" s="99">
        <f t="shared" si="6"/>
        <v>0</v>
      </c>
    </row>
    <row r="27" spans="1:12">
      <c r="A27" s="94"/>
      <c r="B27" s="94"/>
      <c r="C27" s="98" t="s">
        <v>361</v>
      </c>
      <c r="D27" s="98"/>
      <c r="E27" s="174">
        <v>0</v>
      </c>
      <c r="F27" s="179">
        <f>SUM(F28:F30)</f>
        <v>0</v>
      </c>
      <c r="G27" s="128">
        <v>0</v>
      </c>
      <c r="H27" s="98">
        <f>SUM(H28:H28)</f>
        <v>0</v>
      </c>
      <c r="I27" s="98">
        <f>SUM(I28:I28)</f>
        <v>0</v>
      </c>
    </row>
    <row r="28" spans="1:12" ht="15.75">
      <c r="A28" s="94"/>
      <c r="B28" s="94"/>
      <c r="C28" s="96"/>
      <c r="D28" s="98"/>
      <c r="E28" s="175"/>
      <c r="F28" s="180"/>
      <c r="G28" s="129"/>
      <c r="H28" s="98"/>
      <c r="I28" s="98"/>
    </row>
    <row r="29" spans="1:12" ht="15.75">
      <c r="A29" s="94"/>
      <c r="B29" s="94"/>
      <c r="C29" s="96"/>
      <c r="D29" s="98"/>
      <c r="E29" s="175">
        <v>0</v>
      </c>
      <c r="F29" s="180">
        <v>0</v>
      </c>
      <c r="G29" s="129">
        <v>0</v>
      </c>
      <c r="H29" s="98"/>
      <c r="I29" s="98"/>
    </row>
    <row r="30" spans="1:12">
      <c r="A30" s="94"/>
      <c r="B30" s="94"/>
      <c r="C30" s="98" t="s">
        <v>362</v>
      </c>
      <c r="D30" s="98"/>
      <c r="E30" s="175">
        <v>0</v>
      </c>
      <c r="F30" s="180"/>
      <c r="G30" s="129">
        <v>0</v>
      </c>
      <c r="H30" s="98"/>
      <c r="I30" s="98"/>
    </row>
    <row r="31" spans="1:12" ht="32.25" customHeight="1">
      <c r="A31" s="94"/>
      <c r="B31" s="94"/>
      <c r="C31" s="98" t="s">
        <v>363</v>
      </c>
      <c r="D31" s="98"/>
      <c r="E31" s="175">
        <v>0</v>
      </c>
      <c r="F31" s="180"/>
      <c r="G31" s="129">
        <v>0</v>
      </c>
      <c r="H31" s="98">
        <v>0</v>
      </c>
      <c r="I31" s="98">
        <v>0</v>
      </c>
    </row>
    <row r="32" spans="1:12" ht="29.25" customHeight="1">
      <c r="A32" s="94"/>
      <c r="B32" s="94"/>
      <c r="C32" s="98" t="s">
        <v>364</v>
      </c>
      <c r="D32" s="98"/>
      <c r="E32" s="175">
        <f>SUM(E33:E34)</f>
        <v>0</v>
      </c>
      <c r="F32" s="180"/>
      <c r="G32" s="129">
        <f>SUM(G33:G34)</f>
        <v>0</v>
      </c>
      <c r="H32" s="98">
        <f>SUM(H33:H34)</f>
        <v>0</v>
      </c>
      <c r="I32" s="98">
        <f>SUM(I33:I34)</f>
        <v>0</v>
      </c>
    </row>
    <row r="33" spans="1:9">
      <c r="A33" s="94"/>
      <c r="B33" s="94"/>
      <c r="C33" s="98" t="s">
        <v>362</v>
      </c>
      <c r="D33" s="98"/>
      <c r="E33" s="175"/>
      <c r="F33" s="180"/>
      <c r="G33" s="129"/>
      <c r="H33" s="98"/>
      <c r="I33" s="98"/>
    </row>
    <row r="34" spans="1:9">
      <c r="A34" s="94"/>
      <c r="B34" s="94"/>
      <c r="C34" s="98" t="s">
        <v>362</v>
      </c>
      <c r="D34" s="98"/>
      <c r="E34" s="175"/>
      <c r="F34" s="180"/>
      <c r="G34" s="129"/>
      <c r="H34" s="98"/>
      <c r="I34" s="98"/>
    </row>
    <row r="35" spans="1:9" ht="47.25" customHeight="1">
      <c r="A35" s="94"/>
      <c r="B35" s="94"/>
      <c r="C35" s="98" t="s">
        <v>365</v>
      </c>
      <c r="D35" s="98"/>
      <c r="E35" s="175">
        <f>SUM(E36:E37)</f>
        <v>0</v>
      </c>
      <c r="F35" s="180"/>
      <c r="G35" s="129">
        <f>SUM(G36:G37)</f>
        <v>0</v>
      </c>
      <c r="H35" s="98">
        <f>SUM(H36:H37)</f>
        <v>0</v>
      </c>
      <c r="I35" s="98">
        <f>SUM(I36:I37)</f>
        <v>0</v>
      </c>
    </row>
    <row r="36" spans="1:9">
      <c r="A36" s="94"/>
      <c r="B36" s="94"/>
      <c r="C36" s="98" t="s">
        <v>362</v>
      </c>
      <c r="D36" s="98"/>
      <c r="E36" s="175"/>
      <c r="F36" s="180"/>
      <c r="G36" s="129"/>
      <c r="H36" s="98"/>
      <c r="I36" s="98"/>
    </row>
    <row r="37" spans="1:9" ht="18.75" customHeight="1">
      <c r="A37" s="94"/>
      <c r="B37" s="94"/>
      <c r="C37" s="98" t="s">
        <v>362</v>
      </c>
      <c r="D37" s="98"/>
      <c r="E37" s="175"/>
      <c r="F37" s="180"/>
      <c r="G37" s="129"/>
      <c r="H37" s="98"/>
      <c r="I37" s="98"/>
    </row>
    <row r="38" spans="1:9" s="78" customFormat="1" ht="21.75" customHeight="1">
      <c r="A38" s="90"/>
      <c r="B38" s="90">
        <v>2</v>
      </c>
      <c r="C38" s="91" t="s">
        <v>366</v>
      </c>
      <c r="D38" s="91">
        <v>0</v>
      </c>
      <c r="E38" s="103">
        <f>E39+E50+E54+E56</f>
        <v>537.04999999999995</v>
      </c>
      <c r="F38" s="178">
        <f>F39+F50+F54+F56</f>
        <v>343.76</v>
      </c>
      <c r="G38" s="92">
        <f>G39+G50+G54+G56</f>
        <v>267.66000000000003</v>
      </c>
      <c r="H38" s="92">
        <f>H40</f>
        <v>0</v>
      </c>
      <c r="I38" s="92">
        <f>I40</f>
        <v>0</v>
      </c>
    </row>
    <row r="39" spans="1:9" s="38" customFormat="1" ht="21" customHeight="1">
      <c r="A39" s="95"/>
      <c r="B39" s="95"/>
      <c r="C39" s="96" t="s">
        <v>367</v>
      </c>
      <c r="D39" s="96"/>
      <c r="E39" s="103">
        <f>E40+E41+E42+E43+E44+E45+E46+E47+E48+E49+0</f>
        <v>350</v>
      </c>
      <c r="F39" s="178">
        <f>F40+F41+F42+F43+F44+F45+F46+F47+F48</f>
        <v>274.37</v>
      </c>
      <c r="G39" s="127">
        <f>G40+G41+G42+G43+G44+G45+G46+G47+G48+G49+0</f>
        <v>150</v>
      </c>
      <c r="H39" s="97">
        <f t="shared" ref="H39:I39" si="7">H40+H41+H42+H43+H44</f>
        <v>0</v>
      </c>
      <c r="I39" s="97">
        <f t="shared" si="7"/>
        <v>0</v>
      </c>
    </row>
    <row r="40" spans="1:9" ht="20.25" customHeight="1">
      <c r="A40" s="94"/>
      <c r="B40" s="94"/>
      <c r="C40" s="96" t="s">
        <v>413</v>
      </c>
      <c r="D40" s="98">
        <v>1</v>
      </c>
      <c r="E40" s="175">
        <v>220</v>
      </c>
      <c r="F40" s="180">
        <v>225.2</v>
      </c>
      <c r="G40" s="129">
        <v>0</v>
      </c>
      <c r="H40" s="100">
        <v>0</v>
      </c>
      <c r="I40" s="100">
        <v>0</v>
      </c>
    </row>
    <row r="41" spans="1:9" ht="18.75" customHeight="1">
      <c r="A41" s="94"/>
      <c r="B41" s="94"/>
      <c r="C41" s="96" t="s">
        <v>414</v>
      </c>
      <c r="D41" s="98">
        <v>1</v>
      </c>
      <c r="E41" s="175">
        <v>100</v>
      </c>
      <c r="F41" s="180">
        <v>49.17</v>
      </c>
      <c r="G41" s="129">
        <v>150</v>
      </c>
      <c r="H41" s="100">
        <v>0</v>
      </c>
      <c r="I41" s="100">
        <v>0</v>
      </c>
    </row>
    <row r="42" spans="1:9" ht="15" customHeight="1">
      <c r="A42" s="94"/>
      <c r="B42" s="94"/>
      <c r="C42" s="96" t="s">
        <v>415</v>
      </c>
      <c r="D42" s="98">
        <v>1</v>
      </c>
      <c r="E42" s="175">
        <v>30</v>
      </c>
      <c r="F42" s="180">
        <v>0</v>
      </c>
      <c r="G42" s="129">
        <v>0</v>
      </c>
      <c r="H42" s="100">
        <v>0</v>
      </c>
      <c r="I42" s="100">
        <v>0</v>
      </c>
    </row>
    <row r="43" spans="1:9" ht="18.75" customHeight="1">
      <c r="A43" s="94"/>
      <c r="B43" s="94"/>
      <c r="C43" s="96"/>
      <c r="D43" s="98">
        <v>0</v>
      </c>
      <c r="E43" s="175">
        <v>0</v>
      </c>
      <c r="F43" s="180">
        <v>0</v>
      </c>
      <c r="G43" s="129">
        <v>0</v>
      </c>
      <c r="H43" s="100">
        <v>0</v>
      </c>
      <c r="I43" s="100">
        <v>0</v>
      </c>
    </row>
    <row r="44" spans="1:9" ht="17.25" customHeight="1">
      <c r="A44" s="94"/>
      <c r="B44" s="94"/>
      <c r="C44" s="96"/>
      <c r="D44" s="98">
        <v>0</v>
      </c>
      <c r="E44" s="175">
        <v>0</v>
      </c>
      <c r="F44" s="180">
        <v>0</v>
      </c>
      <c r="G44" s="129">
        <v>0</v>
      </c>
      <c r="H44" s="100">
        <v>0</v>
      </c>
      <c r="I44" s="100">
        <v>0</v>
      </c>
    </row>
    <row r="45" spans="1:9" ht="17.25" customHeight="1">
      <c r="A45" s="94"/>
      <c r="B45" s="94"/>
      <c r="C45" s="101"/>
      <c r="D45" s="98">
        <v>0</v>
      </c>
      <c r="E45" s="175"/>
      <c r="F45" s="180">
        <v>0</v>
      </c>
      <c r="G45" s="129"/>
      <c r="H45" s="100"/>
      <c r="I45" s="100"/>
    </row>
    <row r="46" spans="1:9" ht="17.25" customHeight="1">
      <c r="A46" s="94"/>
      <c r="B46" s="94"/>
      <c r="C46" s="101"/>
      <c r="D46" s="98"/>
      <c r="E46" s="175"/>
      <c r="F46" s="180">
        <v>0</v>
      </c>
      <c r="G46" s="129"/>
      <c r="H46" s="100"/>
      <c r="I46" s="100"/>
    </row>
    <row r="47" spans="1:9" s="38" customFormat="1" ht="17.25" customHeight="1">
      <c r="A47" s="95"/>
      <c r="B47" s="95"/>
      <c r="C47" s="102" t="s">
        <v>368</v>
      </c>
      <c r="D47" s="96"/>
      <c r="E47" s="103">
        <v>0</v>
      </c>
      <c r="F47" s="178">
        <v>0</v>
      </c>
      <c r="G47" s="127">
        <v>0</v>
      </c>
      <c r="H47" s="97"/>
      <c r="I47" s="97"/>
    </row>
    <row r="48" spans="1:9" ht="17.25" customHeight="1">
      <c r="A48" s="94"/>
      <c r="B48" s="94"/>
      <c r="C48" s="101" t="s">
        <v>369</v>
      </c>
      <c r="D48" s="98"/>
      <c r="E48" s="175">
        <v>0</v>
      </c>
      <c r="F48" s="180">
        <v>0</v>
      </c>
      <c r="G48" s="129">
        <v>0</v>
      </c>
      <c r="H48" s="100"/>
      <c r="I48" s="100"/>
    </row>
    <row r="49" spans="1:9" ht="17.25" customHeight="1">
      <c r="A49" s="94"/>
      <c r="B49" s="94"/>
      <c r="C49" s="101" t="s">
        <v>370</v>
      </c>
      <c r="D49" s="98"/>
      <c r="E49" s="175"/>
      <c r="F49" s="180">
        <v>0</v>
      </c>
      <c r="G49" s="129"/>
      <c r="H49" s="100"/>
      <c r="I49" s="100"/>
    </row>
    <row r="50" spans="1:9" s="38" customFormat="1" ht="34.5" customHeight="1">
      <c r="A50" s="95"/>
      <c r="B50" s="95"/>
      <c r="C50" s="96" t="s">
        <v>363</v>
      </c>
      <c r="D50" s="96">
        <v>0</v>
      </c>
      <c r="E50" s="103">
        <f t="shared" ref="E50:F50" si="8">E51+E52+E53</f>
        <v>187.05</v>
      </c>
      <c r="F50" s="178">
        <f t="shared" si="8"/>
        <v>69.39</v>
      </c>
      <c r="G50" s="127">
        <f>G51+G52+G53</f>
        <v>117.66000000000001</v>
      </c>
      <c r="H50" s="103">
        <f t="shared" ref="H50:I50" si="9">H53</f>
        <v>0</v>
      </c>
      <c r="I50" s="103">
        <f t="shared" si="9"/>
        <v>0</v>
      </c>
    </row>
    <row r="51" spans="1:9" s="38" customFormat="1" ht="34.5" customHeight="1">
      <c r="A51" s="95"/>
      <c r="B51" s="95"/>
      <c r="C51" s="132" t="s">
        <v>405</v>
      </c>
      <c r="D51" s="96"/>
      <c r="E51" s="103">
        <v>25</v>
      </c>
      <c r="F51" s="178">
        <v>12.5</v>
      </c>
      <c r="G51" s="127">
        <f>E51-F51</f>
        <v>12.5</v>
      </c>
      <c r="H51" s="103"/>
      <c r="I51" s="103"/>
    </row>
    <row r="52" spans="1:9" s="38" customFormat="1" ht="34.5" customHeight="1">
      <c r="A52" s="95"/>
      <c r="B52" s="95"/>
      <c r="C52" s="132" t="s">
        <v>406</v>
      </c>
      <c r="D52" s="96"/>
      <c r="E52" s="103">
        <v>15</v>
      </c>
      <c r="F52" s="178">
        <v>0</v>
      </c>
      <c r="G52" s="127">
        <v>15</v>
      </c>
      <c r="H52" s="103"/>
      <c r="I52" s="103"/>
    </row>
    <row r="53" spans="1:9" s="38" customFormat="1" ht="34.5" customHeight="1">
      <c r="A53" s="95"/>
      <c r="B53" s="95"/>
      <c r="C53" s="39" t="s">
        <v>407</v>
      </c>
      <c r="D53" s="96"/>
      <c r="E53" s="103">
        <v>147.05000000000001</v>
      </c>
      <c r="F53" s="178">
        <v>56.89</v>
      </c>
      <c r="G53" s="127">
        <f>E53-F53</f>
        <v>90.160000000000011</v>
      </c>
      <c r="H53" s="103"/>
      <c r="I53" s="103"/>
    </row>
    <row r="54" spans="1:9" ht="30" customHeight="1">
      <c r="A54" s="94"/>
      <c r="B54" s="94"/>
      <c r="C54" s="98" t="s">
        <v>364</v>
      </c>
      <c r="D54" s="98">
        <v>0</v>
      </c>
      <c r="E54" s="175">
        <v>0</v>
      </c>
      <c r="F54" s="180"/>
      <c r="G54" s="129">
        <v>0</v>
      </c>
      <c r="H54" s="100">
        <v>0</v>
      </c>
      <c r="I54" s="100">
        <v>0</v>
      </c>
    </row>
    <row r="55" spans="1:9" ht="15.75" customHeight="1">
      <c r="A55" s="104"/>
      <c r="B55" s="104"/>
      <c r="C55" s="105" t="s">
        <v>362</v>
      </c>
      <c r="D55" s="105"/>
      <c r="E55" s="176">
        <v>0</v>
      </c>
      <c r="F55" s="181">
        <v>0</v>
      </c>
      <c r="G55" s="130">
        <v>0</v>
      </c>
      <c r="H55" s="98">
        <f>SUM(H56:H56)</f>
        <v>0</v>
      </c>
      <c r="I55" s="98">
        <f>SUM(I56:I56)</f>
        <v>0</v>
      </c>
    </row>
    <row r="56" spans="1:9" ht="29.25" customHeight="1">
      <c r="A56" s="95"/>
      <c r="B56" s="95"/>
      <c r="C56" s="98" t="s">
        <v>371</v>
      </c>
      <c r="D56" s="96"/>
      <c r="E56" s="175">
        <v>0</v>
      </c>
      <c r="F56" s="180">
        <v>0</v>
      </c>
      <c r="G56" s="129">
        <v>0</v>
      </c>
      <c r="H56" s="96"/>
      <c r="I56" s="96"/>
    </row>
    <row r="57" spans="1:9">
      <c r="A57" s="94"/>
      <c r="B57" s="94"/>
      <c r="C57" s="98" t="s">
        <v>362</v>
      </c>
      <c r="D57" s="98"/>
      <c r="E57" s="175"/>
      <c r="F57" s="180"/>
      <c r="G57" s="129"/>
      <c r="H57" s="98"/>
      <c r="I57" s="98"/>
    </row>
    <row r="58" spans="1:9" ht="16.5" customHeight="1">
      <c r="A58" s="94"/>
      <c r="B58" s="94"/>
      <c r="C58" s="98" t="s">
        <v>362</v>
      </c>
      <c r="D58" s="98"/>
      <c r="E58" s="175"/>
      <c r="F58" s="180"/>
      <c r="G58" s="129"/>
      <c r="H58" s="98"/>
      <c r="I58" s="98"/>
    </row>
    <row r="59" spans="1:9" ht="32.25" customHeight="1">
      <c r="A59" s="90"/>
      <c r="B59" s="90">
        <v>3</v>
      </c>
      <c r="C59" s="91" t="s">
        <v>372</v>
      </c>
      <c r="D59" s="91"/>
      <c r="E59" s="103">
        <f t="shared" ref="E59" si="10">SUM(E60:E60)</f>
        <v>0</v>
      </c>
      <c r="F59" s="178">
        <f>SUM(F60:F60)</f>
        <v>0</v>
      </c>
      <c r="G59" s="92">
        <f t="shared" ref="G59:I59" si="11">SUM(G60:G60)</f>
        <v>0</v>
      </c>
      <c r="H59" s="91">
        <f t="shared" si="11"/>
        <v>0</v>
      </c>
      <c r="I59" s="91">
        <f t="shared" si="11"/>
        <v>0</v>
      </c>
    </row>
    <row r="60" spans="1:9">
      <c r="A60" s="94"/>
      <c r="B60" s="94"/>
      <c r="C60" s="98" t="s">
        <v>367</v>
      </c>
      <c r="D60" s="98"/>
      <c r="E60" s="175">
        <f t="shared" ref="E60:F60" si="12">E62+E63</f>
        <v>0</v>
      </c>
      <c r="F60" s="180">
        <f t="shared" si="12"/>
        <v>0</v>
      </c>
      <c r="G60" s="129">
        <f>G62+G63</f>
        <v>0</v>
      </c>
      <c r="H60" s="98"/>
      <c r="I60" s="98"/>
    </row>
    <row r="61" spans="1:9">
      <c r="A61" s="94"/>
      <c r="B61" s="94"/>
      <c r="C61" s="98"/>
      <c r="D61" s="98"/>
      <c r="E61" s="175"/>
      <c r="F61" s="180"/>
      <c r="G61" s="129"/>
      <c r="H61" s="98"/>
      <c r="I61" s="98"/>
    </row>
    <row r="62" spans="1:9" ht="17.25" customHeight="1">
      <c r="A62" s="94"/>
      <c r="B62" s="94"/>
      <c r="C62" s="98" t="s">
        <v>373</v>
      </c>
      <c r="D62" s="98"/>
      <c r="E62" s="175">
        <v>0</v>
      </c>
      <c r="F62" s="180">
        <v>0</v>
      </c>
      <c r="G62" s="129">
        <v>0</v>
      </c>
      <c r="H62" s="98">
        <f>H63+H66+H69+H72+H76</f>
        <v>0</v>
      </c>
      <c r="I62" s="98">
        <f>I63+I66+I69+I72+I76</f>
        <v>0</v>
      </c>
    </row>
    <row r="63" spans="1:9" ht="17.25" customHeight="1">
      <c r="A63" s="94"/>
      <c r="B63" s="94"/>
      <c r="C63" s="98" t="s">
        <v>374</v>
      </c>
      <c r="D63" s="98"/>
      <c r="E63" s="175">
        <v>0</v>
      </c>
      <c r="F63" s="180">
        <v>0</v>
      </c>
      <c r="G63" s="129">
        <v>0</v>
      </c>
      <c r="H63" s="98">
        <f>SUM(H64:H65)</f>
        <v>0</v>
      </c>
      <c r="I63" s="98">
        <f>SUM(I64:I65)</f>
        <v>0</v>
      </c>
    </row>
    <row r="64" spans="1:9" ht="30">
      <c r="A64" s="106"/>
      <c r="B64" s="106"/>
      <c r="C64" s="107" t="s">
        <v>363</v>
      </c>
      <c r="D64" s="107"/>
      <c r="E64" s="177"/>
      <c r="F64" s="180"/>
      <c r="G64" s="131"/>
      <c r="H64" s="98"/>
      <c r="I64" s="98"/>
    </row>
    <row r="65" spans="1:27">
      <c r="A65" s="94"/>
      <c r="B65" s="94"/>
      <c r="C65" s="98" t="s">
        <v>362</v>
      </c>
      <c r="D65" s="98"/>
      <c r="E65" s="175"/>
      <c r="F65" s="180"/>
      <c r="G65" s="129"/>
      <c r="H65" s="98"/>
      <c r="I65" s="98"/>
    </row>
    <row r="66" spans="1:27" ht="15.75" customHeight="1">
      <c r="A66" s="94"/>
      <c r="B66" s="94"/>
      <c r="C66" s="98" t="s">
        <v>362</v>
      </c>
      <c r="D66" s="98"/>
      <c r="E66" s="175">
        <f>SUM(E67:E68)</f>
        <v>0</v>
      </c>
      <c r="F66" s="180"/>
      <c r="G66" s="129">
        <f>SUM(G67:G68)</f>
        <v>0</v>
      </c>
      <c r="H66" s="98">
        <f>SUM(H67:H68)</f>
        <v>0</v>
      </c>
      <c r="I66" s="98">
        <f>SUM(I67:I68)</f>
        <v>0</v>
      </c>
    </row>
    <row r="67" spans="1:27" ht="30">
      <c r="A67" s="94"/>
      <c r="B67" s="94"/>
      <c r="C67" s="98" t="s">
        <v>364</v>
      </c>
      <c r="D67" s="98"/>
      <c r="E67" s="175"/>
      <c r="F67" s="180"/>
      <c r="G67" s="129"/>
      <c r="H67" s="98"/>
      <c r="I67" s="98"/>
    </row>
    <row r="68" spans="1:27">
      <c r="A68" s="94"/>
      <c r="B68" s="94"/>
      <c r="C68" s="98" t="s">
        <v>362</v>
      </c>
      <c r="D68" s="98"/>
      <c r="E68" s="175"/>
      <c r="F68" s="180"/>
      <c r="G68" s="129"/>
      <c r="H68" s="98"/>
      <c r="I68" s="98"/>
    </row>
    <row r="69" spans="1:27" ht="16.5" customHeight="1">
      <c r="A69" s="94"/>
      <c r="B69" s="94"/>
      <c r="C69" s="98" t="s">
        <v>362</v>
      </c>
      <c r="D69" s="98"/>
      <c r="E69" s="175">
        <f>SUM(E70:E71)</f>
        <v>0</v>
      </c>
      <c r="F69" s="180"/>
      <c r="G69" s="129">
        <f>SUM(G70:G71)</f>
        <v>0</v>
      </c>
      <c r="H69" s="98">
        <f>SUM(H70:H71)</f>
        <v>0</v>
      </c>
      <c r="I69" s="98">
        <f>SUM(I70:I71)</f>
        <v>0</v>
      </c>
    </row>
    <row r="70" spans="1:27" ht="45">
      <c r="A70" s="94"/>
      <c r="B70" s="94"/>
      <c r="C70" s="98" t="s">
        <v>365</v>
      </c>
      <c r="D70" s="98"/>
      <c r="E70" s="175"/>
      <c r="F70" s="180"/>
      <c r="G70" s="129"/>
      <c r="H70" s="98"/>
      <c r="I70" s="98"/>
    </row>
    <row r="71" spans="1:27">
      <c r="A71" s="94"/>
      <c r="B71" s="94"/>
      <c r="C71" s="98" t="s">
        <v>362</v>
      </c>
      <c r="D71" s="98"/>
      <c r="E71" s="175"/>
      <c r="F71" s="180"/>
      <c r="G71" s="129"/>
      <c r="H71" s="98"/>
      <c r="I71" s="98"/>
    </row>
    <row r="72" spans="1:27" ht="15.75" customHeight="1">
      <c r="A72" s="94"/>
      <c r="B72" s="94"/>
      <c r="C72" s="98" t="s">
        <v>362</v>
      </c>
      <c r="D72" s="98"/>
      <c r="E72" s="175"/>
      <c r="F72" s="180"/>
      <c r="G72" s="129"/>
      <c r="H72" s="98">
        <f>SUM(H73:H74)</f>
        <v>0</v>
      </c>
      <c r="I72" s="98">
        <f>SUM(I73:I74)</f>
        <v>0</v>
      </c>
    </row>
    <row r="73" spans="1:27" s="38" customFormat="1" ht="15.75">
      <c r="A73" s="90"/>
      <c r="B73" s="90">
        <v>4</v>
      </c>
      <c r="C73" s="91" t="s">
        <v>375</v>
      </c>
      <c r="D73" s="91"/>
      <c r="E73" s="103">
        <v>0</v>
      </c>
      <c r="F73" s="178"/>
      <c r="G73" s="92">
        <v>0</v>
      </c>
      <c r="H73" s="91"/>
      <c r="I73" s="91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 spans="1:27">
      <c r="A74" s="89"/>
      <c r="B74" s="89">
        <v>5</v>
      </c>
      <c r="C74" s="99" t="s">
        <v>376</v>
      </c>
      <c r="D74" s="99"/>
      <c r="E74" s="175">
        <f t="shared" ref="E74" si="13">SUM(E75:E76)</f>
        <v>0</v>
      </c>
      <c r="F74" s="180">
        <f>SUM(F75:F76)</f>
        <v>0</v>
      </c>
      <c r="G74" s="108">
        <f t="shared" ref="G74:I74" si="14">SUM(G75:G76)</f>
        <v>0</v>
      </c>
      <c r="H74" s="108">
        <f t="shared" si="14"/>
        <v>0</v>
      </c>
      <c r="I74" s="108">
        <f t="shared" si="14"/>
        <v>0</v>
      </c>
    </row>
    <row r="75" spans="1:27" ht="17.25" customHeight="1">
      <c r="A75" s="94"/>
      <c r="B75" s="95"/>
      <c r="C75" s="98" t="s">
        <v>354</v>
      </c>
      <c r="D75" s="96"/>
      <c r="E75" s="103">
        <v>0</v>
      </c>
      <c r="F75" s="178"/>
      <c r="G75" s="127">
        <v>0</v>
      </c>
      <c r="H75" s="96"/>
      <c r="I75" s="96"/>
    </row>
    <row r="76" spans="1:27" ht="18" customHeight="1">
      <c r="A76" s="94"/>
      <c r="B76" s="94"/>
      <c r="C76" s="98" t="s">
        <v>355</v>
      </c>
      <c r="D76" s="98"/>
      <c r="E76" s="175">
        <f>SUM(E77:E78)</f>
        <v>0</v>
      </c>
      <c r="F76" s="180"/>
      <c r="G76" s="129">
        <f>SUM(G77:G78)</f>
        <v>0</v>
      </c>
      <c r="H76" s="98">
        <f>SUM(H77:H78)</f>
        <v>0</v>
      </c>
      <c r="I76" s="98">
        <f>SUM(I77:I78)</f>
        <v>0</v>
      </c>
    </row>
    <row r="77" spans="1:27">
      <c r="A77" s="94"/>
      <c r="B77" s="94"/>
      <c r="C77" s="98" t="s">
        <v>354</v>
      </c>
      <c r="D77" s="98"/>
      <c r="E77" s="175"/>
      <c r="F77" s="180"/>
      <c r="G77" s="129"/>
      <c r="H77" s="98"/>
      <c r="I77" s="98"/>
    </row>
    <row r="78" spans="1:27">
      <c r="A78" s="94"/>
      <c r="B78" s="94"/>
      <c r="C78" s="98" t="s">
        <v>355</v>
      </c>
      <c r="D78" s="98"/>
      <c r="E78" s="175"/>
      <c r="F78" s="180"/>
      <c r="G78" s="129"/>
      <c r="H78" s="98"/>
      <c r="I78" s="98"/>
    </row>
    <row r="79" spans="1:27">
      <c r="A79" s="321" t="s">
        <v>97</v>
      </c>
      <c r="B79" s="321"/>
      <c r="C79" s="321"/>
      <c r="D79" s="322" t="s">
        <v>324</v>
      </c>
      <c r="E79" s="322"/>
      <c r="F79" s="322"/>
      <c r="G79" s="322"/>
      <c r="H79" s="322"/>
      <c r="I79" s="322"/>
      <c r="J79" s="216"/>
    </row>
    <row r="80" spans="1:27">
      <c r="A80" s="316" t="s">
        <v>436</v>
      </c>
      <c r="B80" s="316"/>
      <c r="C80" s="316"/>
      <c r="E80" s="316" t="s">
        <v>437</v>
      </c>
      <c r="F80" s="316"/>
      <c r="G80" s="316"/>
      <c r="H80" s="316"/>
      <c r="I80" s="316"/>
    </row>
    <row r="81" spans="1:9">
      <c r="A81" s="316" t="s">
        <v>100</v>
      </c>
      <c r="B81" s="316"/>
      <c r="C81" s="316"/>
      <c r="E81" s="317" t="s">
        <v>377</v>
      </c>
      <c r="F81" s="317"/>
      <c r="G81" s="317"/>
      <c r="H81" s="317"/>
      <c r="I81" s="317"/>
    </row>
  </sheetData>
  <mergeCells count="20">
    <mergeCell ref="E80:I80"/>
    <mergeCell ref="A81:C81"/>
    <mergeCell ref="E81:I81"/>
    <mergeCell ref="F9:F11"/>
    <mergeCell ref="A79:C79"/>
    <mergeCell ref="A80:C80"/>
    <mergeCell ref="D79:I79"/>
    <mergeCell ref="A5:I5"/>
    <mergeCell ref="A6:I6"/>
    <mergeCell ref="A7:I7"/>
    <mergeCell ref="A8:A11"/>
    <mergeCell ref="B8:B11"/>
    <mergeCell ref="C8:C11"/>
    <mergeCell ref="D8:D11"/>
    <mergeCell ref="E8:F8"/>
    <mergeCell ref="E9:E11"/>
    <mergeCell ref="G8:I8"/>
    <mergeCell ref="G9:I9"/>
    <mergeCell ref="G10:G11"/>
    <mergeCell ref="H10:I10"/>
  </mergeCells>
  <printOptions horizontalCentered="1" verticalCentered="1"/>
  <pageMargins left="0" right="0" top="0" bottom="0" header="0" footer="0"/>
  <pageSetup paperSize="9" scale="71" orientation="landscape" r:id="rId1"/>
  <headerFooter alignWithMargins="0">
    <oddFooter>Pagina &amp;P</oddFooter>
  </headerFooter>
  <rowBreaks count="2" manualBreakCount="2">
    <brk id="37" max="13" man="1"/>
    <brk id="65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K27"/>
  <sheetViews>
    <sheetView view="pageBreakPreview" zoomScaleNormal="100" zoomScaleSheetLayoutView="100" workbookViewId="0">
      <selection activeCell="J58" sqref="J58"/>
    </sheetView>
  </sheetViews>
  <sheetFormatPr defaultRowHeight="15"/>
  <cols>
    <col min="1" max="1" width="9.140625" style="2"/>
    <col min="2" max="2" width="35.85546875" style="2" customWidth="1"/>
    <col min="3" max="4" width="9.140625" style="2"/>
    <col min="5" max="5" width="12.140625" style="2" customWidth="1"/>
    <col min="6" max="257" width="9.140625" style="2"/>
    <col min="258" max="258" width="35.85546875" style="2" customWidth="1"/>
    <col min="259" max="260" width="9.140625" style="2"/>
    <col min="261" max="261" width="12.140625" style="2" customWidth="1"/>
    <col min="262" max="513" width="9.140625" style="2"/>
    <col min="514" max="514" width="35.85546875" style="2" customWidth="1"/>
    <col min="515" max="516" width="9.140625" style="2"/>
    <col min="517" max="517" width="12.140625" style="2" customWidth="1"/>
    <col min="518" max="769" width="9.140625" style="2"/>
    <col min="770" max="770" width="35.85546875" style="2" customWidth="1"/>
    <col min="771" max="772" width="9.140625" style="2"/>
    <col min="773" max="773" width="12.140625" style="2" customWidth="1"/>
    <col min="774" max="1025" width="9.140625" style="2"/>
    <col min="1026" max="1026" width="35.85546875" style="2" customWidth="1"/>
    <col min="1027" max="1028" width="9.140625" style="2"/>
    <col min="1029" max="1029" width="12.140625" style="2" customWidth="1"/>
    <col min="1030" max="1281" width="9.140625" style="2"/>
    <col min="1282" max="1282" width="35.85546875" style="2" customWidth="1"/>
    <col min="1283" max="1284" width="9.140625" style="2"/>
    <col min="1285" max="1285" width="12.140625" style="2" customWidth="1"/>
    <col min="1286" max="1537" width="9.140625" style="2"/>
    <col min="1538" max="1538" width="35.85546875" style="2" customWidth="1"/>
    <col min="1539" max="1540" width="9.140625" style="2"/>
    <col min="1541" max="1541" width="12.140625" style="2" customWidth="1"/>
    <col min="1542" max="1793" width="9.140625" style="2"/>
    <col min="1794" max="1794" width="35.85546875" style="2" customWidth="1"/>
    <col min="1795" max="1796" width="9.140625" style="2"/>
    <col min="1797" max="1797" width="12.140625" style="2" customWidth="1"/>
    <col min="1798" max="2049" width="9.140625" style="2"/>
    <col min="2050" max="2050" width="35.85546875" style="2" customWidth="1"/>
    <col min="2051" max="2052" width="9.140625" style="2"/>
    <col min="2053" max="2053" width="12.140625" style="2" customWidth="1"/>
    <col min="2054" max="2305" width="9.140625" style="2"/>
    <col min="2306" max="2306" width="35.85546875" style="2" customWidth="1"/>
    <col min="2307" max="2308" width="9.140625" style="2"/>
    <col min="2309" max="2309" width="12.140625" style="2" customWidth="1"/>
    <col min="2310" max="2561" width="9.140625" style="2"/>
    <col min="2562" max="2562" width="35.85546875" style="2" customWidth="1"/>
    <col min="2563" max="2564" width="9.140625" style="2"/>
    <col min="2565" max="2565" width="12.140625" style="2" customWidth="1"/>
    <col min="2566" max="2817" width="9.140625" style="2"/>
    <col min="2818" max="2818" width="35.85546875" style="2" customWidth="1"/>
    <col min="2819" max="2820" width="9.140625" style="2"/>
    <col min="2821" max="2821" width="12.140625" style="2" customWidth="1"/>
    <col min="2822" max="3073" width="9.140625" style="2"/>
    <col min="3074" max="3074" width="35.85546875" style="2" customWidth="1"/>
    <col min="3075" max="3076" width="9.140625" style="2"/>
    <col min="3077" max="3077" width="12.140625" style="2" customWidth="1"/>
    <col min="3078" max="3329" width="9.140625" style="2"/>
    <col min="3330" max="3330" width="35.85546875" style="2" customWidth="1"/>
    <col min="3331" max="3332" width="9.140625" style="2"/>
    <col min="3333" max="3333" width="12.140625" style="2" customWidth="1"/>
    <col min="3334" max="3585" width="9.140625" style="2"/>
    <col min="3586" max="3586" width="35.85546875" style="2" customWidth="1"/>
    <col min="3587" max="3588" width="9.140625" style="2"/>
    <col min="3589" max="3589" width="12.140625" style="2" customWidth="1"/>
    <col min="3590" max="3841" width="9.140625" style="2"/>
    <col min="3842" max="3842" width="35.85546875" style="2" customWidth="1"/>
    <col min="3843" max="3844" width="9.140625" style="2"/>
    <col min="3845" max="3845" width="12.140625" style="2" customWidth="1"/>
    <col min="3846" max="4097" width="9.140625" style="2"/>
    <col min="4098" max="4098" width="35.85546875" style="2" customWidth="1"/>
    <col min="4099" max="4100" width="9.140625" style="2"/>
    <col min="4101" max="4101" width="12.140625" style="2" customWidth="1"/>
    <col min="4102" max="4353" width="9.140625" style="2"/>
    <col min="4354" max="4354" width="35.85546875" style="2" customWidth="1"/>
    <col min="4355" max="4356" width="9.140625" style="2"/>
    <col min="4357" max="4357" width="12.140625" style="2" customWidth="1"/>
    <col min="4358" max="4609" width="9.140625" style="2"/>
    <col min="4610" max="4610" width="35.85546875" style="2" customWidth="1"/>
    <col min="4611" max="4612" width="9.140625" style="2"/>
    <col min="4613" max="4613" width="12.140625" style="2" customWidth="1"/>
    <col min="4614" max="4865" width="9.140625" style="2"/>
    <col min="4866" max="4866" width="35.85546875" style="2" customWidth="1"/>
    <col min="4867" max="4868" width="9.140625" style="2"/>
    <col min="4869" max="4869" width="12.140625" style="2" customWidth="1"/>
    <col min="4870" max="5121" width="9.140625" style="2"/>
    <col min="5122" max="5122" width="35.85546875" style="2" customWidth="1"/>
    <col min="5123" max="5124" width="9.140625" style="2"/>
    <col min="5125" max="5125" width="12.140625" style="2" customWidth="1"/>
    <col min="5126" max="5377" width="9.140625" style="2"/>
    <col min="5378" max="5378" width="35.85546875" style="2" customWidth="1"/>
    <col min="5379" max="5380" width="9.140625" style="2"/>
    <col min="5381" max="5381" width="12.140625" style="2" customWidth="1"/>
    <col min="5382" max="5633" width="9.140625" style="2"/>
    <col min="5634" max="5634" width="35.85546875" style="2" customWidth="1"/>
    <col min="5635" max="5636" width="9.140625" style="2"/>
    <col min="5637" max="5637" width="12.140625" style="2" customWidth="1"/>
    <col min="5638" max="5889" width="9.140625" style="2"/>
    <col min="5890" max="5890" width="35.85546875" style="2" customWidth="1"/>
    <col min="5891" max="5892" width="9.140625" style="2"/>
    <col min="5893" max="5893" width="12.140625" style="2" customWidth="1"/>
    <col min="5894" max="6145" width="9.140625" style="2"/>
    <col min="6146" max="6146" width="35.85546875" style="2" customWidth="1"/>
    <col min="6147" max="6148" width="9.140625" style="2"/>
    <col min="6149" max="6149" width="12.140625" style="2" customWidth="1"/>
    <col min="6150" max="6401" width="9.140625" style="2"/>
    <col min="6402" max="6402" width="35.85546875" style="2" customWidth="1"/>
    <col min="6403" max="6404" width="9.140625" style="2"/>
    <col min="6405" max="6405" width="12.140625" style="2" customWidth="1"/>
    <col min="6406" max="6657" width="9.140625" style="2"/>
    <col min="6658" max="6658" width="35.85546875" style="2" customWidth="1"/>
    <col min="6659" max="6660" width="9.140625" style="2"/>
    <col min="6661" max="6661" width="12.140625" style="2" customWidth="1"/>
    <col min="6662" max="6913" width="9.140625" style="2"/>
    <col min="6914" max="6914" width="35.85546875" style="2" customWidth="1"/>
    <col min="6915" max="6916" width="9.140625" style="2"/>
    <col min="6917" max="6917" width="12.140625" style="2" customWidth="1"/>
    <col min="6918" max="7169" width="9.140625" style="2"/>
    <col min="7170" max="7170" width="35.85546875" style="2" customWidth="1"/>
    <col min="7171" max="7172" width="9.140625" style="2"/>
    <col min="7173" max="7173" width="12.140625" style="2" customWidth="1"/>
    <col min="7174" max="7425" width="9.140625" style="2"/>
    <col min="7426" max="7426" width="35.85546875" style="2" customWidth="1"/>
    <col min="7427" max="7428" width="9.140625" style="2"/>
    <col min="7429" max="7429" width="12.140625" style="2" customWidth="1"/>
    <col min="7430" max="7681" width="9.140625" style="2"/>
    <col min="7682" max="7682" width="35.85546875" style="2" customWidth="1"/>
    <col min="7683" max="7684" width="9.140625" style="2"/>
    <col min="7685" max="7685" width="12.140625" style="2" customWidth="1"/>
    <col min="7686" max="7937" width="9.140625" style="2"/>
    <col min="7938" max="7938" width="35.85546875" style="2" customWidth="1"/>
    <col min="7939" max="7940" width="9.140625" style="2"/>
    <col min="7941" max="7941" width="12.140625" style="2" customWidth="1"/>
    <col min="7942" max="8193" width="9.140625" style="2"/>
    <col min="8194" max="8194" width="35.85546875" style="2" customWidth="1"/>
    <col min="8195" max="8196" width="9.140625" style="2"/>
    <col min="8197" max="8197" width="12.140625" style="2" customWidth="1"/>
    <col min="8198" max="8449" width="9.140625" style="2"/>
    <col min="8450" max="8450" width="35.85546875" style="2" customWidth="1"/>
    <col min="8451" max="8452" width="9.140625" style="2"/>
    <col min="8453" max="8453" width="12.140625" style="2" customWidth="1"/>
    <col min="8454" max="8705" width="9.140625" style="2"/>
    <col min="8706" max="8706" width="35.85546875" style="2" customWidth="1"/>
    <col min="8707" max="8708" width="9.140625" style="2"/>
    <col min="8709" max="8709" width="12.140625" style="2" customWidth="1"/>
    <col min="8710" max="8961" width="9.140625" style="2"/>
    <col min="8962" max="8962" width="35.85546875" style="2" customWidth="1"/>
    <col min="8963" max="8964" width="9.140625" style="2"/>
    <col min="8965" max="8965" width="12.140625" style="2" customWidth="1"/>
    <col min="8966" max="9217" width="9.140625" style="2"/>
    <col min="9218" max="9218" width="35.85546875" style="2" customWidth="1"/>
    <col min="9219" max="9220" width="9.140625" style="2"/>
    <col min="9221" max="9221" width="12.140625" style="2" customWidth="1"/>
    <col min="9222" max="9473" width="9.140625" style="2"/>
    <col min="9474" max="9474" width="35.85546875" style="2" customWidth="1"/>
    <col min="9475" max="9476" width="9.140625" style="2"/>
    <col min="9477" max="9477" width="12.140625" style="2" customWidth="1"/>
    <col min="9478" max="9729" width="9.140625" style="2"/>
    <col min="9730" max="9730" width="35.85546875" style="2" customWidth="1"/>
    <col min="9731" max="9732" width="9.140625" style="2"/>
    <col min="9733" max="9733" width="12.140625" style="2" customWidth="1"/>
    <col min="9734" max="9985" width="9.140625" style="2"/>
    <col min="9986" max="9986" width="35.85546875" style="2" customWidth="1"/>
    <col min="9987" max="9988" width="9.140625" style="2"/>
    <col min="9989" max="9989" width="12.140625" style="2" customWidth="1"/>
    <col min="9990" max="10241" width="9.140625" style="2"/>
    <col min="10242" max="10242" width="35.85546875" style="2" customWidth="1"/>
    <col min="10243" max="10244" width="9.140625" style="2"/>
    <col min="10245" max="10245" width="12.140625" style="2" customWidth="1"/>
    <col min="10246" max="10497" width="9.140625" style="2"/>
    <col min="10498" max="10498" width="35.85546875" style="2" customWidth="1"/>
    <col min="10499" max="10500" width="9.140625" style="2"/>
    <col min="10501" max="10501" width="12.140625" style="2" customWidth="1"/>
    <col min="10502" max="10753" width="9.140625" style="2"/>
    <col min="10754" max="10754" width="35.85546875" style="2" customWidth="1"/>
    <col min="10755" max="10756" width="9.140625" style="2"/>
    <col min="10757" max="10757" width="12.140625" style="2" customWidth="1"/>
    <col min="10758" max="11009" width="9.140625" style="2"/>
    <col min="11010" max="11010" width="35.85546875" style="2" customWidth="1"/>
    <col min="11011" max="11012" width="9.140625" style="2"/>
    <col min="11013" max="11013" width="12.140625" style="2" customWidth="1"/>
    <col min="11014" max="11265" width="9.140625" style="2"/>
    <col min="11266" max="11266" width="35.85546875" style="2" customWidth="1"/>
    <col min="11267" max="11268" width="9.140625" style="2"/>
    <col min="11269" max="11269" width="12.140625" style="2" customWidth="1"/>
    <col min="11270" max="11521" width="9.140625" style="2"/>
    <col min="11522" max="11522" width="35.85546875" style="2" customWidth="1"/>
    <col min="11523" max="11524" width="9.140625" style="2"/>
    <col min="11525" max="11525" width="12.140625" style="2" customWidth="1"/>
    <col min="11526" max="11777" width="9.140625" style="2"/>
    <col min="11778" max="11778" width="35.85546875" style="2" customWidth="1"/>
    <col min="11779" max="11780" width="9.140625" style="2"/>
    <col min="11781" max="11781" width="12.140625" style="2" customWidth="1"/>
    <col min="11782" max="12033" width="9.140625" style="2"/>
    <col min="12034" max="12034" width="35.85546875" style="2" customWidth="1"/>
    <col min="12035" max="12036" width="9.140625" style="2"/>
    <col min="12037" max="12037" width="12.140625" style="2" customWidth="1"/>
    <col min="12038" max="12289" width="9.140625" style="2"/>
    <col min="12290" max="12290" width="35.85546875" style="2" customWidth="1"/>
    <col min="12291" max="12292" width="9.140625" style="2"/>
    <col min="12293" max="12293" width="12.140625" style="2" customWidth="1"/>
    <col min="12294" max="12545" width="9.140625" style="2"/>
    <col min="12546" max="12546" width="35.85546875" style="2" customWidth="1"/>
    <col min="12547" max="12548" width="9.140625" style="2"/>
    <col min="12549" max="12549" width="12.140625" style="2" customWidth="1"/>
    <col min="12550" max="12801" width="9.140625" style="2"/>
    <col min="12802" max="12802" width="35.85546875" style="2" customWidth="1"/>
    <col min="12803" max="12804" width="9.140625" style="2"/>
    <col min="12805" max="12805" width="12.140625" style="2" customWidth="1"/>
    <col min="12806" max="13057" width="9.140625" style="2"/>
    <col min="13058" max="13058" width="35.85546875" style="2" customWidth="1"/>
    <col min="13059" max="13060" width="9.140625" style="2"/>
    <col min="13061" max="13061" width="12.140625" style="2" customWidth="1"/>
    <col min="13062" max="13313" width="9.140625" style="2"/>
    <col min="13314" max="13314" width="35.85546875" style="2" customWidth="1"/>
    <col min="13315" max="13316" width="9.140625" style="2"/>
    <col min="13317" max="13317" width="12.140625" style="2" customWidth="1"/>
    <col min="13318" max="13569" width="9.140625" style="2"/>
    <col min="13570" max="13570" width="35.85546875" style="2" customWidth="1"/>
    <col min="13571" max="13572" width="9.140625" style="2"/>
    <col min="13573" max="13573" width="12.140625" style="2" customWidth="1"/>
    <col min="13574" max="13825" width="9.140625" style="2"/>
    <col min="13826" max="13826" width="35.85546875" style="2" customWidth="1"/>
    <col min="13827" max="13828" width="9.140625" style="2"/>
    <col min="13829" max="13829" width="12.140625" style="2" customWidth="1"/>
    <col min="13830" max="14081" width="9.140625" style="2"/>
    <col min="14082" max="14082" width="35.85546875" style="2" customWidth="1"/>
    <col min="14083" max="14084" width="9.140625" style="2"/>
    <col min="14085" max="14085" width="12.140625" style="2" customWidth="1"/>
    <col min="14086" max="14337" width="9.140625" style="2"/>
    <col min="14338" max="14338" width="35.85546875" style="2" customWidth="1"/>
    <col min="14339" max="14340" width="9.140625" style="2"/>
    <col min="14341" max="14341" width="12.140625" style="2" customWidth="1"/>
    <col min="14342" max="14593" width="9.140625" style="2"/>
    <col min="14594" max="14594" width="35.85546875" style="2" customWidth="1"/>
    <col min="14595" max="14596" width="9.140625" style="2"/>
    <col min="14597" max="14597" width="12.140625" style="2" customWidth="1"/>
    <col min="14598" max="14849" width="9.140625" style="2"/>
    <col min="14850" max="14850" width="35.85546875" style="2" customWidth="1"/>
    <col min="14851" max="14852" width="9.140625" style="2"/>
    <col min="14853" max="14853" width="12.140625" style="2" customWidth="1"/>
    <col min="14854" max="15105" width="9.140625" style="2"/>
    <col min="15106" max="15106" width="35.85546875" style="2" customWidth="1"/>
    <col min="15107" max="15108" width="9.140625" style="2"/>
    <col min="15109" max="15109" width="12.140625" style="2" customWidth="1"/>
    <col min="15110" max="15361" width="9.140625" style="2"/>
    <col min="15362" max="15362" width="35.85546875" style="2" customWidth="1"/>
    <col min="15363" max="15364" width="9.140625" style="2"/>
    <col min="15365" max="15365" width="12.140625" style="2" customWidth="1"/>
    <col min="15366" max="15617" width="9.140625" style="2"/>
    <col min="15618" max="15618" width="35.85546875" style="2" customWidth="1"/>
    <col min="15619" max="15620" width="9.140625" style="2"/>
    <col min="15621" max="15621" width="12.140625" style="2" customWidth="1"/>
    <col min="15622" max="15873" width="9.140625" style="2"/>
    <col min="15874" max="15874" width="35.85546875" style="2" customWidth="1"/>
    <col min="15875" max="15876" width="9.140625" style="2"/>
    <col min="15877" max="15877" width="12.140625" style="2" customWidth="1"/>
    <col min="15878" max="16129" width="9.140625" style="2"/>
    <col min="16130" max="16130" width="35.85546875" style="2" customWidth="1"/>
    <col min="16131" max="16132" width="9.140625" style="2"/>
    <col min="16133" max="16133" width="12.140625" style="2" customWidth="1"/>
    <col min="16134" max="16384" width="9.140625" style="2"/>
  </cols>
  <sheetData>
    <row r="1" spans="1:11">
      <c r="A1" s="1" t="s">
        <v>0</v>
      </c>
      <c r="G1" s="324" t="s">
        <v>378</v>
      </c>
      <c r="H1" s="324"/>
      <c r="I1" s="324"/>
      <c r="J1" s="324"/>
      <c r="K1" s="324"/>
    </row>
    <row r="2" spans="1:11">
      <c r="A2" s="1" t="s">
        <v>2</v>
      </c>
      <c r="G2" s="324" t="s">
        <v>429</v>
      </c>
      <c r="H2" s="324"/>
      <c r="I2" s="324"/>
      <c r="J2" s="324"/>
      <c r="K2" s="324"/>
    </row>
    <row r="3" spans="1:11">
      <c r="A3" s="1" t="s">
        <v>379</v>
      </c>
      <c r="G3" s="324" t="s">
        <v>409</v>
      </c>
      <c r="H3" s="324"/>
      <c r="I3" s="324"/>
      <c r="J3" s="324"/>
      <c r="K3" s="324"/>
    </row>
    <row r="4" spans="1:11">
      <c r="A4" s="1" t="s">
        <v>4</v>
      </c>
    </row>
    <row r="5" spans="1:11">
      <c r="A5" s="1"/>
    </row>
    <row r="6" spans="1:11" ht="15.75">
      <c r="A6" s="325" t="s">
        <v>380</v>
      </c>
      <c r="B6" s="325"/>
      <c r="C6" s="325"/>
      <c r="D6" s="325"/>
      <c r="E6" s="325"/>
      <c r="F6" s="325"/>
      <c r="G6" s="325"/>
      <c r="H6" s="325"/>
      <c r="I6" s="325"/>
      <c r="J6" s="325"/>
      <c r="K6" s="325"/>
    </row>
    <row r="7" spans="1:11">
      <c r="A7" s="109"/>
      <c r="B7" s="109"/>
      <c r="C7" s="109"/>
      <c r="D7" s="109"/>
      <c r="E7" s="109"/>
      <c r="F7" s="109"/>
      <c r="G7" s="109"/>
      <c r="H7" s="109"/>
      <c r="I7" s="109"/>
      <c r="J7" s="109"/>
      <c r="K7" s="109"/>
    </row>
    <row r="8" spans="1:11">
      <c r="A8" s="326" t="s">
        <v>5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</row>
    <row r="9" spans="1:11">
      <c r="A9" s="323" t="s">
        <v>381</v>
      </c>
      <c r="B9" s="323" t="s">
        <v>382</v>
      </c>
      <c r="C9" s="323" t="s">
        <v>383</v>
      </c>
      <c r="D9" s="323" t="s">
        <v>384</v>
      </c>
      <c r="E9" s="323"/>
      <c r="F9" s="323" t="s">
        <v>385</v>
      </c>
      <c r="G9" s="323"/>
      <c r="H9" s="323" t="s">
        <v>386</v>
      </c>
      <c r="I9" s="323"/>
      <c r="J9" s="323" t="s">
        <v>387</v>
      </c>
      <c r="K9" s="323"/>
    </row>
    <row r="10" spans="1:11">
      <c r="A10" s="323"/>
      <c r="B10" s="323"/>
      <c r="C10" s="323"/>
      <c r="D10" s="323" t="s">
        <v>388</v>
      </c>
      <c r="E10" s="323"/>
      <c r="F10" s="323" t="s">
        <v>389</v>
      </c>
      <c r="G10" s="323"/>
      <c r="H10" s="323" t="s">
        <v>389</v>
      </c>
      <c r="I10" s="323"/>
      <c r="J10" s="323" t="s">
        <v>389</v>
      </c>
      <c r="K10" s="323"/>
    </row>
    <row r="11" spans="1:11" ht="45">
      <c r="A11" s="323"/>
      <c r="B11" s="323"/>
      <c r="C11" s="323"/>
      <c r="D11" s="110" t="s">
        <v>390</v>
      </c>
      <c r="E11" s="110" t="s">
        <v>313</v>
      </c>
      <c r="F11" s="110" t="s">
        <v>391</v>
      </c>
      <c r="G11" s="110" t="s">
        <v>313</v>
      </c>
      <c r="H11" s="110" t="s">
        <v>391</v>
      </c>
      <c r="I11" s="110" t="s">
        <v>313</v>
      </c>
      <c r="J11" s="110" t="s">
        <v>391</v>
      </c>
      <c r="K11" s="110" t="s">
        <v>313</v>
      </c>
    </row>
    <row r="12" spans="1:11">
      <c r="A12" s="110">
        <v>0</v>
      </c>
      <c r="B12" s="110">
        <v>1</v>
      </c>
      <c r="C12" s="110">
        <v>2</v>
      </c>
      <c r="D12" s="110">
        <v>3</v>
      </c>
      <c r="E12" s="110">
        <v>4</v>
      </c>
      <c r="F12" s="110">
        <v>5</v>
      </c>
      <c r="G12" s="110">
        <v>6</v>
      </c>
      <c r="H12" s="110">
        <v>7</v>
      </c>
      <c r="I12" s="110">
        <v>8</v>
      </c>
      <c r="J12" s="110">
        <v>9</v>
      </c>
      <c r="K12" s="110">
        <v>10</v>
      </c>
    </row>
    <row r="13" spans="1:11" ht="28.5" customHeight="1">
      <c r="A13" s="110" t="s">
        <v>392</v>
      </c>
      <c r="B13" s="111" t="s">
        <v>380</v>
      </c>
      <c r="C13" s="111"/>
      <c r="D13" s="110"/>
      <c r="E13" s="110"/>
      <c r="F13" s="111"/>
      <c r="G13" s="111"/>
      <c r="H13" s="111"/>
      <c r="I13" s="111"/>
      <c r="J13" s="111"/>
      <c r="K13" s="111"/>
    </row>
    <row r="14" spans="1:11">
      <c r="A14" s="110">
        <v>1</v>
      </c>
      <c r="B14" s="111" t="s">
        <v>393</v>
      </c>
      <c r="C14" s="111"/>
      <c r="D14" s="110" t="s">
        <v>85</v>
      </c>
      <c r="E14" s="110" t="s">
        <v>85</v>
      </c>
      <c r="F14" s="111"/>
      <c r="G14" s="111"/>
      <c r="H14" s="111"/>
      <c r="I14" s="111"/>
      <c r="J14" s="111"/>
      <c r="K14" s="111"/>
    </row>
    <row r="15" spans="1:11" ht="30">
      <c r="A15" s="110">
        <v>2</v>
      </c>
      <c r="B15" s="111" t="s">
        <v>394</v>
      </c>
      <c r="C15" s="111"/>
      <c r="D15" s="110" t="s">
        <v>85</v>
      </c>
      <c r="E15" s="110" t="s">
        <v>85</v>
      </c>
      <c r="F15" s="111"/>
      <c r="G15" s="111"/>
      <c r="H15" s="111"/>
      <c r="I15" s="111"/>
      <c r="J15" s="111"/>
      <c r="K15" s="111"/>
    </row>
    <row r="16" spans="1:11" ht="30">
      <c r="A16" s="110">
        <v>3</v>
      </c>
      <c r="B16" s="111" t="s">
        <v>395</v>
      </c>
      <c r="C16" s="111"/>
      <c r="D16" s="110" t="s">
        <v>85</v>
      </c>
      <c r="E16" s="110" t="s">
        <v>85</v>
      </c>
      <c r="F16" s="111"/>
      <c r="G16" s="111"/>
      <c r="H16" s="111"/>
      <c r="I16" s="111"/>
      <c r="J16" s="111"/>
      <c r="K16" s="111"/>
    </row>
    <row r="17" spans="1:11">
      <c r="A17" s="110">
        <v>4</v>
      </c>
      <c r="B17" s="110" t="s">
        <v>396</v>
      </c>
      <c r="C17" s="111"/>
      <c r="D17" s="110" t="s">
        <v>85</v>
      </c>
      <c r="E17" s="110" t="s">
        <v>85</v>
      </c>
      <c r="F17" s="111"/>
      <c r="G17" s="111"/>
      <c r="H17" s="111"/>
      <c r="I17" s="111"/>
      <c r="J17" s="111"/>
      <c r="K17" s="111"/>
    </row>
    <row r="18" spans="1:11" ht="32.25" customHeight="1">
      <c r="A18" s="110" t="s">
        <v>397</v>
      </c>
      <c r="B18" s="111" t="s">
        <v>398</v>
      </c>
      <c r="C18" s="111"/>
      <c r="D18" s="110"/>
      <c r="E18" s="110"/>
      <c r="F18" s="111"/>
      <c r="G18" s="111"/>
      <c r="H18" s="111"/>
      <c r="I18" s="111"/>
      <c r="J18" s="111"/>
      <c r="K18" s="111"/>
    </row>
    <row r="19" spans="1:11" ht="30">
      <c r="A19" s="110">
        <v>1</v>
      </c>
      <c r="B19" s="111" t="s">
        <v>399</v>
      </c>
      <c r="C19" s="111"/>
      <c r="D19" s="110" t="s">
        <v>85</v>
      </c>
      <c r="E19" s="110" t="s">
        <v>85</v>
      </c>
      <c r="F19" s="111"/>
      <c r="G19" s="111"/>
      <c r="H19" s="111"/>
      <c r="I19" s="111"/>
      <c r="J19" s="111"/>
      <c r="K19" s="111"/>
    </row>
    <row r="20" spans="1:11" ht="30">
      <c r="A20" s="110">
        <v>2</v>
      </c>
      <c r="B20" s="111" t="s">
        <v>400</v>
      </c>
      <c r="C20" s="111"/>
      <c r="D20" s="110" t="s">
        <v>85</v>
      </c>
      <c r="E20" s="110" t="s">
        <v>85</v>
      </c>
      <c r="F20" s="111"/>
      <c r="G20" s="111"/>
      <c r="H20" s="111"/>
      <c r="I20" s="111"/>
      <c r="J20" s="111"/>
      <c r="K20" s="111"/>
    </row>
    <row r="21" spans="1:11">
      <c r="A21" s="110">
        <v>3</v>
      </c>
      <c r="B21" s="111" t="s">
        <v>401</v>
      </c>
      <c r="C21" s="111"/>
      <c r="D21" s="110" t="s">
        <v>85</v>
      </c>
      <c r="E21" s="110" t="s">
        <v>85</v>
      </c>
      <c r="F21" s="111"/>
      <c r="G21" s="111"/>
      <c r="H21" s="111"/>
      <c r="I21" s="111"/>
      <c r="J21" s="111"/>
      <c r="K21" s="111"/>
    </row>
    <row r="22" spans="1:11">
      <c r="A22" s="110">
        <v>4</v>
      </c>
      <c r="B22" s="110" t="s">
        <v>402</v>
      </c>
      <c r="C22" s="111"/>
      <c r="D22" s="110" t="s">
        <v>85</v>
      </c>
      <c r="E22" s="110" t="s">
        <v>85</v>
      </c>
      <c r="F22" s="111"/>
      <c r="G22" s="111"/>
      <c r="H22" s="111"/>
      <c r="I22" s="111"/>
      <c r="J22" s="111"/>
      <c r="K22" s="111"/>
    </row>
    <row r="23" spans="1:11">
      <c r="A23" s="110" t="s">
        <v>403</v>
      </c>
      <c r="B23" s="110" t="s">
        <v>404</v>
      </c>
      <c r="C23" s="111"/>
      <c r="D23" s="110"/>
      <c r="E23" s="110"/>
      <c r="F23" s="111"/>
      <c r="G23" s="111"/>
      <c r="H23" s="111"/>
      <c r="I23" s="111"/>
      <c r="J23" s="111"/>
      <c r="K23" s="111"/>
    </row>
    <row r="24" spans="1:11">
      <c r="A24" s="217"/>
      <c r="B24" s="217"/>
      <c r="C24" s="218"/>
      <c r="D24" s="217"/>
      <c r="E24" s="217"/>
      <c r="F24" s="218"/>
      <c r="G24" s="218"/>
      <c r="H24" s="218"/>
      <c r="I24" s="218"/>
      <c r="J24" s="218"/>
      <c r="K24" s="218"/>
    </row>
    <row r="25" spans="1:11">
      <c r="A25" s="262" t="s">
        <v>97</v>
      </c>
      <c r="B25" s="262"/>
      <c r="E25" s="327" t="s">
        <v>440</v>
      </c>
      <c r="F25" s="327"/>
      <c r="G25" s="327"/>
      <c r="H25" s="327"/>
      <c r="I25" s="327"/>
      <c r="J25" s="327"/>
      <c r="K25" s="327"/>
    </row>
    <row r="26" spans="1:11">
      <c r="A26" s="223" t="s">
        <v>436</v>
      </c>
      <c r="B26" s="223"/>
      <c r="E26" s="262" t="s">
        <v>438</v>
      </c>
      <c r="F26" s="262"/>
      <c r="G26" s="262"/>
      <c r="H26" s="262"/>
      <c r="I26" s="262"/>
      <c r="J26" s="262"/>
      <c r="K26" s="262"/>
    </row>
    <row r="27" spans="1:11">
      <c r="A27" s="223" t="s">
        <v>100</v>
      </c>
      <c r="B27" s="223"/>
      <c r="E27" s="223" t="s">
        <v>377</v>
      </c>
      <c r="F27" s="223"/>
      <c r="G27" s="223"/>
      <c r="H27" s="223"/>
      <c r="I27" s="223"/>
      <c r="J27" s="223"/>
      <c r="K27" s="223"/>
    </row>
  </sheetData>
  <mergeCells count="22">
    <mergeCell ref="A25:B25"/>
    <mergeCell ref="A27:B27"/>
    <mergeCell ref="A26:B26"/>
    <mergeCell ref="E25:K25"/>
    <mergeCell ref="E26:K26"/>
    <mergeCell ref="E27:K27"/>
    <mergeCell ref="H9:I9"/>
    <mergeCell ref="J9:K9"/>
    <mergeCell ref="D10:E10"/>
    <mergeCell ref="F10:G10"/>
    <mergeCell ref="H10:I10"/>
    <mergeCell ref="J10:K10"/>
    <mergeCell ref="G1:K1"/>
    <mergeCell ref="G2:K2"/>
    <mergeCell ref="G3:K3"/>
    <mergeCell ref="A6:K6"/>
    <mergeCell ref="A8:K8"/>
    <mergeCell ref="A9:A11"/>
    <mergeCell ref="B9:B11"/>
    <mergeCell ref="C9:C11"/>
    <mergeCell ref="D9:E9"/>
    <mergeCell ref="F9:G9"/>
  </mergeCells>
  <printOptions horizontalCentered="1" verticalCentered="1"/>
  <pageMargins left="0" right="0" top="0" bottom="0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 Bis.1</vt:lpstr>
      <vt:lpstr>Bis.2</vt:lpstr>
      <vt:lpstr>Bis.3</vt:lpstr>
      <vt:lpstr>Bis.4</vt:lpstr>
      <vt:lpstr>Bis.5</vt:lpstr>
      <vt:lpstr>' Bis.1'!Print_Area</vt:lpstr>
      <vt:lpstr>Bis.2!Print_Area</vt:lpstr>
      <vt:lpstr>Bis.3!Print_Area</vt:lpstr>
      <vt:lpstr>Bis.4!Print_Area</vt:lpstr>
      <vt:lpstr>Bis.5!Print_Area</vt:lpstr>
      <vt:lpstr>' Bis.1'!Print_Titles</vt:lpstr>
      <vt:lpstr>Bis.2!Print_Titles</vt:lpstr>
      <vt:lpstr>Bis.4!Print_Titles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2024-02-05T15:34:03Z</cp:lastPrinted>
  <dcterms:created xsi:type="dcterms:W3CDTF">2022-01-28T11:28:33Z</dcterms:created>
  <dcterms:modified xsi:type="dcterms:W3CDTF">2024-02-05T15:35:26Z</dcterms:modified>
</cp:coreProperties>
</file>