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ACHIZITII 2023\Imprumut bancar 81 mil lei\Solicitari clarificare ante depunere oferta\"/>
    </mc:Choice>
  </mc:AlternateContent>
  <xr:revisionPtr revIDLastSave="0" documentId="8_{C94800F7-395C-41E2-A4AC-8315F2A1B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K9" i="1" l="1"/>
  <c r="L16" i="1"/>
  <c r="L15" i="1"/>
  <c r="L14" i="1"/>
  <c r="L13" i="1"/>
  <c r="L12" i="1"/>
  <c r="L11" i="1"/>
  <c r="L10" i="1"/>
  <c r="L9" i="1"/>
  <c r="L8" i="1"/>
  <c r="K15" i="1"/>
  <c r="K14" i="1"/>
  <c r="K13" i="1"/>
  <c r="K11" i="1"/>
  <c r="K10" i="1"/>
  <c r="K8" i="1"/>
  <c r="N8" i="1"/>
  <c r="Q8" i="1"/>
  <c r="K16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K12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Q13" i="1" l="1"/>
  <c r="N13" i="1"/>
  <c r="Q11" i="1"/>
  <c r="N11" i="1"/>
  <c r="N12" i="1"/>
  <c r="Q12" i="1"/>
  <c r="Q16" i="1"/>
  <c r="N16" i="1"/>
  <c r="N14" i="1"/>
  <c r="Q14" i="1"/>
  <c r="Q10" i="1"/>
  <c r="N10" i="1"/>
  <c r="Q9" i="1"/>
  <c r="N9" i="1"/>
  <c r="Q15" i="1"/>
  <c r="N15" i="1"/>
</calcChain>
</file>

<file path=xl/sharedStrings.xml><?xml version="1.0" encoding="utf-8"?>
<sst xmlns="http://schemas.openxmlformats.org/spreadsheetml/2006/main" count="38" uniqueCount="37">
  <si>
    <t>Informații referitoare la proiectele finanțate din împrumutul în valoare de 81.025.796 lei</t>
  </si>
  <si>
    <t>mii lei</t>
  </si>
  <si>
    <t>No.</t>
  </si>
  <si>
    <t>Proiect</t>
  </si>
  <si>
    <t>Program operațional</t>
  </si>
  <si>
    <t>Status (în implementare/contractare/
evaluare)</t>
  </si>
  <si>
    <t>Bugetul proiectului</t>
  </si>
  <si>
    <t>Plăți efectuate</t>
  </si>
  <si>
    <t>Plăți de efectuat</t>
  </si>
  <si>
    <t>Alocat din credit</t>
  </si>
  <si>
    <t>Progresul fizic</t>
  </si>
  <si>
    <t>Progresul valoric</t>
  </si>
  <si>
    <t>Valoare totală
- conform ultimului act aditional semnat la contractul de finantare-</t>
  </si>
  <si>
    <t>Valoare totală
-ce urmează a fi actualizată conform HCL de actualizare a indicatorilor tehnico-economici-</t>
  </si>
  <si>
    <t>Valoare eligibilă</t>
  </si>
  <si>
    <t>Valoare grant</t>
  </si>
  <si>
    <t>Contributie proprie
- conform ultimului act aditional semnat la contractul de finantare-</t>
  </si>
  <si>
    <t>Contributie proprie
 -ce urmează a fi actualizată conform HCL de actualizare a indicatorilor tehnico-economici-</t>
  </si>
  <si>
    <t>Amenajare piste de ciclisti în municipiul 
Bistrița - Etapa 1</t>
  </si>
  <si>
    <t>Program operațional regional 2014-2020</t>
  </si>
  <si>
    <t>În implementare (procedura de actualizare a bugetelor proiectelor de investitii conform ultimelor HCL-uri de actualizare a indicatorilor tehnico-economici este în curs de realizare)</t>
  </si>
  <si>
    <t>Linie verde de transport public utilizand mijloace de transport cu motor electric, hibrid sau norma de poluare redusa</t>
  </si>
  <si>
    <t>Amenajare parc in cadrul complexului sportiv si de agrement Unirea- Wonderland, Municipiul Bistrita</t>
  </si>
  <si>
    <t>Reabilitare si modernizare "Colegiul Tehnic Grigore Moisil" Corp A, B si C, Municipiul Bistrita</t>
  </si>
  <si>
    <t>Reabilitare si modernizare Scoala Gimnaziala nr. 1</t>
  </si>
  <si>
    <t>Reconfigurarea axei de transport public pe traseul str. Gării – b-dul Decebal – str.Andrei Mureşanu – str. Năsăudului</t>
  </si>
  <si>
    <t>Reabilitare si modernizare Gradinita Cu program prelungit nr. 3 si Cresa nr. 3</t>
  </si>
  <si>
    <t>Reabilitare si modernizare Liceul Tehnologic de Servicii, Municipiul Bistrita</t>
  </si>
  <si>
    <t>Restaurarea Bisericii Evanghelice C.A. Bistrița în vederea introducerii sale în circuitul turistic internațional</t>
  </si>
  <si>
    <t>45</t>
  </si>
  <si>
    <t>Directia Economica</t>
  </si>
  <si>
    <t>Consilier,</t>
  </si>
  <si>
    <t>Director Executiv,</t>
  </si>
  <si>
    <t>Scurtu Nicolae</t>
  </si>
  <si>
    <t>Muntean Roxana</t>
  </si>
  <si>
    <t>Data intocmire:</t>
  </si>
  <si>
    <t>Termen finalizare
(cu posibilitate de prelungire)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</si>
</sst>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charset val="238"/>
      <scheme val="minor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0" fillId="2" borderId="1" xfId="0" applyNumberFormat="1" applyFill="1" applyBorder="1"/>
    <xf numFmtId="4" fontId="0" fillId="2" borderId="1" xfId="0" applyNumberFormat="1" applyFill="1" applyBorder="1"/>
    <xf numFmtId="4" fontId="0" fillId="2" borderId="0" xfId="0" applyNumberFormat="1" applyFill="1"/>
    <xf numFmtId="4" fontId="0" fillId="0" borderId="0" xfId="0" applyNumberFormat="1"/>
    <xf numFmtId="4" fontId="0" fillId="0" borderId="1" xfId="0" applyNumberFormat="1" applyBorder="1"/>
    <xf numFmtId="0" fontId="0" fillId="2" borderId="0" xfId="0" applyFill="1"/>
    <xf numFmtId="49" fontId="0" fillId="2" borderId="1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/>
    <xf numFmtId="14" fontId="0" fillId="2" borderId="0" xfId="0" applyNumberFormat="1" applyFill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S22"/>
  <sheetViews>
    <sheetView tabSelected="1" topLeftCell="C1" workbookViewId="0">
      <selection activeCell="L16" sqref="L16"/>
    </sheetView>
  </sheetViews>
  <sheetFormatPr defaultColWidth="9" defaultRowHeight="15" x14ac:dyDescent="0.25"/>
  <cols>
    <col min="3" max="3" width="30" customWidth="1"/>
    <col min="4" max="4" width="20.28515625" customWidth="1"/>
    <col min="5" max="5" width="14.140625" customWidth="1"/>
    <col min="6" max="6" width="16.7109375" customWidth="1"/>
    <col min="7" max="7" width="22" customWidth="1"/>
    <col min="8" max="8" width="13.5703125" customWidth="1"/>
    <col min="9" max="9" width="15.5703125" customWidth="1"/>
    <col min="10" max="10" width="13.85546875" customWidth="1"/>
    <col min="11" max="11" width="23.140625" customWidth="1"/>
    <col min="12" max="12" width="18.42578125" customWidth="1"/>
    <col min="13" max="13" width="14.140625" customWidth="1"/>
    <col min="14" max="14" width="15.7109375" customWidth="1"/>
    <col min="15" max="15" width="15.5703125" customWidth="1"/>
    <col min="16" max="16" width="14.85546875" style="9" customWidth="1"/>
    <col min="17" max="17" width="15.85546875" customWidth="1"/>
  </cols>
  <sheetData>
    <row r="3" spans="2:19" ht="21" x14ac:dyDescent="0.35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2:19" ht="21" x14ac:dyDescent="0.3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>
        <v>3815.89</v>
      </c>
      <c r="O4" s="12"/>
      <c r="P4" s="12"/>
      <c r="Q4" s="12"/>
    </row>
    <row r="5" spans="2:19" x14ac:dyDescent="0.25">
      <c r="Q5" s="11" t="s">
        <v>1</v>
      </c>
    </row>
    <row r="6" spans="2:19" x14ac:dyDescent="0.25">
      <c r="B6" s="25" t="s">
        <v>2</v>
      </c>
      <c r="C6" s="20" t="s">
        <v>3</v>
      </c>
      <c r="D6" s="21" t="s">
        <v>4</v>
      </c>
      <c r="E6" s="20" t="s">
        <v>5</v>
      </c>
      <c r="F6" s="22" t="s">
        <v>6</v>
      </c>
      <c r="G6" s="23"/>
      <c r="H6" s="23"/>
      <c r="I6" s="23"/>
      <c r="J6" s="23"/>
      <c r="K6" s="23"/>
      <c r="L6" s="24"/>
      <c r="M6" s="21" t="s">
        <v>7</v>
      </c>
      <c r="N6" s="21" t="s">
        <v>8</v>
      </c>
      <c r="O6" s="21" t="s">
        <v>9</v>
      </c>
      <c r="P6" s="28" t="s">
        <v>10</v>
      </c>
      <c r="Q6" s="21" t="s">
        <v>11</v>
      </c>
    </row>
    <row r="7" spans="2:19" ht="142.5" customHeight="1" x14ac:dyDescent="0.25">
      <c r="B7" s="26"/>
      <c r="C7" s="20"/>
      <c r="D7" s="21"/>
      <c r="E7" s="20"/>
      <c r="F7" s="2" t="s">
        <v>36</v>
      </c>
      <c r="G7" s="2" t="s">
        <v>12</v>
      </c>
      <c r="H7" s="2" t="s">
        <v>13</v>
      </c>
      <c r="I7" s="1" t="s">
        <v>14</v>
      </c>
      <c r="J7" s="1" t="s">
        <v>15</v>
      </c>
      <c r="K7" s="2" t="s">
        <v>16</v>
      </c>
      <c r="L7" s="2" t="s">
        <v>17</v>
      </c>
      <c r="M7" s="21"/>
      <c r="N7" s="21"/>
      <c r="O7" s="21"/>
      <c r="P7" s="28"/>
      <c r="Q7" s="21"/>
    </row>
    <row r="8" spans="2:19" ht="42.75" x14ac:dyDescent="0.25">
      <c r="B8" s="1">
        <v>1</v>
      </c>
      <c r="C8" s="3" t="s">
        <v>18</v>
      </c>
      <c r="D8" s="17" t="s">
        <v>19</v>
      </c>
      <c r="E8" s="17" t="s">
        <v>20</v>
      </c>
      <c r="F8" s="4">
        <v>45169</v>
      </c>
      <c r="G8" s="5">
        <f>21074346.11/1000</f>
        <v>21074.346109999999</v>
      </c>
      <c r="H8" s="5">
        <f>24309951.77/1000</f>
        <v>24309.95177</v>
      </c>
      <c r="I8" s="5">
        <f>20912310.52/1000</f>
        <v>20912.310519999999</v>
      </c>
      <c r="J8" s="5">
        <f>20494064.29/1000</f>
        <v>20494.064289999998</v>
      </c>
      <c r="K8" s="5">
        <f>G8-J8</f>
        <v>580.28182000000015</v>
      </c>
      <c r="L8" s="5">
        <f t="shared" ref="L8:L16" si="0">K8+H8-G8</f>
        <v>3815.8874800000012</v>
      </c>
      <c r="M8" s="8">
        <v>11564</v>
      </c>
      <c r="N8" s="8">
        <f>H8-M8</f>
        <v>12745.95177</v>
      </c>
      <c r="O8" s="8">
        <v>3235.6060000000002</v>
      </c>
      <c r="P8" s="10">
        <v>55</v>
      </c>
      <c r="Q8" s="8">
        <f>M8/H8*100</f>
        <v>47.568996061401897</v>
      </c>
      <c r="S8" s="7"/>
    </row>
    <row r="9" spans="2:19" ht="57" x14ac:dyDescent="0.25">
      <c r="B9" s="1">
        <v>2</v>
      </c>
      <c r="C9" s="3" t="s">
        <v>21</v>
      </c>
      <c r="D9" s="18"/>
      <c r="E9" s="18"/>
      <c r="F9" s="4">
        <v>45016</v>
      </c>
      <c r="G9" s="5">
        <f>68899677.03/1000</f>
        <v>68899.677030000006</v>
      </c>
      <c r="H9" s="5">
        <f>88969742/1000</f>
        <v>88969.741999999998</v>
      </c>
      <c r="I9" s="6">
        <f>54180440.25/1000</f>
        <v>54180.44025</v>
      </c>
      <c r="J9" s="5">
        <f>(46053374.2+7043457.26)/1000</f>
        <v>53096.831460000001</v>
      </c>
      <c r="K9" s="5">
        <f>G9-I9+1083608.79/1000</f>
        <v>15802.845570000007</v>
      </c>
      <c r="L9" s="5">
        <f t="shared" si="0"/>
        <v>35872.910539999997</v>
      </c>
      <c r="M9" s="8">
        <v>45659.37</v>
      </c>
      <c r="N9" s="8">
        <f t="shared" ref="N9:N16" si="1">H9-M9</f>
        <v>43310.371999999996</v>
      </c>
      <c r="O9" s="8">
        <v>30146.419000000002</v>
      </c>
      <c r="P9" s="10">
        <v>40</v>
      </c>
      <c r="Q9" s="8">
        <f t="shared" ref="Q9:Q16" si="2">M9/H9*100</f>
        <v>51.320110605693337</v>
      </c>
      <c r="S9" s="7"/>
    </row>
    <row r="10" spans="2:19" ht="71.25" x14ac:dyDescent="0.25">
      <c r="B10" s="1">
        <v>3</v>
      </c>
      <c r="C10" s="3" t="s">
        <v>22</v>
      </c>
      <c r="D10" s="18"/>
      <c r="E10" s="18"/>
      <c r="F10" s="4">
        <v>45138</v>
      </c>
      <c r="G10" s="5">
        <f>5561719.96/1000</f>
        <v>5561.7199600000004</v>
      </c>
      <c r="H10" s="6">
        <f>5895255.87/1000</f>
        <v>5895.25587</v>
      </c>
      <c r="I10" s="5">
        <f>5399530.92/1000</f>
        <v>5399.5309200000002</v>
      </c>
      <c r="J10" s="5">
        <f>(4589601.29+701939.01)/1000</f>
        <v>5291.5402999999997</v>
      </c>
      <c r="K10" s="5">
        <f>G10-J10</f>
        <v>270.17966000000069</v>
      </c>
      <c r="L10" s="5">
        <f t="shared" si="0"/>
        <v>603.7155700000003</v>
      </c>
      <c r="M10" s="8">
        <v>4124.3900000000003</v>
      </c>
      <c r="N10" s="8">
        <f t="shared" si="1"/>
        <v>1770.8658699999996</v>
      </c>
      <c r="O10" s="8">
        <v>333.536</v>
      </c>
      <c r="P10" s="10">
        <v>75</v>
      </c>
      <c r="Q10" s="8">
        <f t="shared" si="2"/>
        <v>69.961170319821932</v>
      </c>
      <c r="S10" s="7"/>
    </row>
    <row r="11" spans="2:19" ht="57" x14ac:dyDescent="0.25">
      <c r="B11" s="1">
        <v>4</v>
      </c>
      <c r="C11" s="3" t="s">
        <v>23</v>
      </c>
      <c r="D11" s="18"/>
      <c r="E11" s="18"/>
      <c r="F11" s="4">
        <v>45291</v>
      </c>
      <c r="G11" s="5">
        <f>30934660.9/1000</f>
        <v>30934.660899999999</v>
      </c>
      <c r="H11" s="5">
        <f>47867294.86/1000</f>
        <v>47867.294860000002</v>
      </c>
      <c r="I11" s="5">
        <f>24413024.66/1000</f>
        <v>24413.024659999999</v>
      </c>
      <c r="J11" s="5">
        <f>(20751070.97+3173693.17)/1000</f>
        <v>23924.764139999999</v>
      </c>
      <c r="K11" s="5">
        <f>G11-J11</f>
        <v>7009.8967599999996</v>
      </c>
      <c r="L11" s="5">
        <f t="shared" si="0"/>
        <v>23942.530719999999</v>
      </c>
      <c r="M11" s="8">
        <v>17328.75</v>
      </c>
      <c r="N11" s="8">
        <f t="shared" si="1"/>
        <v>30538.544860000002</v>
      </c>
      <c r="O11" s="8">
        <v>16932.633999999998</v>
      </c>
      <c r="P11" s="10" t="s">
        <v>29</v>
      </c>
      <c r="Q11" s="8">
        <f t="shared" si="2"/>
        <v>36.201648851647683</v>
      </c>
      <c r="S11" s="7"/>
    </row>
    <row r="12" spans="2:19" ht="28.5" x14ac:dyDescent="0.25">
      <c r="B12" s="1">
        <v>5</v>
      </c>
      <c r="C12" s="3" t="s">
        <v>24</v>
      </c>
      <c r="D12" s="18"/>
      <c r="E12" s="18"/>
      <c r="F12" s="4">
        <v>44985</v>
      </c>
      <c r="G12" s="5">
        <f>22542318.61/1000</f>
        <v>22542.318609999998</v>
      </c>
      <c r="H12" s="5">
        <f>30410098.15/1000</f>
        <v>30410.098149999998</v>
      </c>
      <c r="I12" s="5">
        <f>18099247.71/1000</f>
        <v>18099.24771</v>
      </c>
      <c r="J12" s="5">
        <f>(15384360.56+2352903.19)/1000</f>
        <v>17737.263749999998</v>
      </c>
      <c r="K12" s="5">
        <f>(361984.96+4443070.9)/1000</f>
        <v>4805.0558600000004</v>
      </c>
      <c r="L12" s="5">
        <f t="shared" si="0"/>
        <v>12672.8354</v>
      </c>
      <c r="M12" s="8">
        <v>21866.67</v>
      </c>
      <c r="N12" s="8">
        <f t="shared" si="1"/>
        <v>8543.4281499999997</v>
      </c>
      <c r="O12" s="8">
        <v>7867.7809999999999</v>
      </c>
      <c r="P12" s="10">
        <v>84</v>
      </c>
      <c r="Q12" s="8">
        <f t="shared" si="2"/>
        <v>71.905950096382696</v>
      </c>
      <c r="S12" s="7"/>
    </row>
    <row r="13" spans="2:19" ht="71.25" x14ac:dyDescent="0.25">
      <c r="B13" s="1">
        <v>6</v>
      </c>
      <c r="C13" s="3" t="s">
        <v>25</v>
      </c>
      <c r="D13" s="18"/>
      <c r="E13" s="18"/>
      <c r="F13" s="4">
        <v>45169</v>
      </c>
      <c r="G13" s="5">
        <f>50415144.04/1000</f>
        <v>50415.144039999999</v>
      </c>
      <c r="H13" s="5">
        <f>58425807.26/1000</f>
        <v>58425.807260000001</v>
      </c>
      <c r="I13" s="5">
        <f>49861547.94/1000</f>
        <v>49861.547939999997</v>
      </c>
      <c r="J13" s="5">
        <f>(42382315.75+6482001.27)/1000</f>
        <v>48864.317019999995</v>
      </c>
      <c r="K13" s="5">
        <f>(997230.92+553596.1)/1000</f>
        <v>1550.8270199999999</v>
      </c>
      <c r="L13" s="5">
        <f t="shared" si="0"/>
        <v>9561.4902399999992</v>
      </c>
      <c r="M13" s="8">
        <v>4021.84</v>
      </c>
      <c r="N13" s="8">
        <f t="shared" si="1"/>
        <v>54403.967260000005</v>
      </c>
      <c r="O13" s="8">
        <v>8010.6639999999998</v>
      </c>
      <c r="P13" s="10">
        <v>10</v>
      </c>
      <c r="Q13" s="8">
        <f t="shared" si="2"/>
        <v>6.8836703994562836</v>
      </c>
      <c r="S13" s="7"/>
    </row>
    <row r="14" spans="2:19" ht="42.75" x14ac:dyDescent="0.25">
      <c r="B14" s="1">
        <v>7</v>
      </c>
      <c r="C14" s="3" t="s">
        <v>26</v>
      </c>
      <c r="D14" s="18"/>
      <c r="E14" s="18"/>
      <c r="F14" s="4">
        <v>45230</v>
      </c>
      <c r="G14" s="5">
        <f>7357363.13/1000</f>
        <v>7357.3631299999997</v>
      </c>
      <c r="H14" s="5">
        <f>12690131.08/1000</f>
        <v>12690.131079999999</v>
      </c>
      <c r="I14" s="5">
        <f>7326274.05/1000</f>
        <v>7326.27405</v>
      </c>
      <c r="J14" s="5">
        <f>(6227332.94+952415.6)/1000</f>
        <v>7179.7485399999996</v>
      </c>
      <c r="K14" s="5">
        <f>(146525.51+31089.08)/1000</f>
        <v>177.61459000000002</v>
      </c>
      <c r="L14" s="5">
        <f t="shared" si="0"/>
        <v>5510.3825399999987</v>
      </c>
      <c r="M14" s="8">
        <v>214.14</v>
      </c>
      <c r="N14" s="8">
        <f t="shared" si="1"/>
        <v>12475.99108</v>
      </c>
      <c r="O14" s="8">
        <v>5332.768</v>
      </c>
      <c r="P14" s="10">
        <v>15</v>
      </c>
      <c r="Q14" s="8">
        <f t="shared" si="2"/>
        <v>1.6874530188068</v>
      </c>
      <c r="S14" s="7"/>
    </row>
    <row r="15" spans="2:19" ht="42.75" x14ac:dyDescent="0.25">
      <c r="B15" s="1">
        <v>8</v>
      </c>
      <c r="C15" s="3" t="s">
        <v>27</v>
      </c>
      <c r="D15" s="18"/>
      <c r="E15" s="18"/>
      <c r="F15" s="4">
        <v>44985</v>
      </c>
      <c r="G15" s="5">
        <f>7748472.9/1000</f>
        <v>7748.4729000000007</v>
      </c>
      <c r="H15" s="5">
        <f>10090849.68/1000</f>
        <v>10090.849679999999</v>
      </c>
      <c r="I15" s="5">
        <f>7747282.9/1000</f>
        <v>7747.2829000000002</v>
      </c>
      <c r="J15" s="5">
        <f>(6585190.43+1007146.78)/1000</f>
        <v>7592.3372099999997</v>
      </c>
      <c r="K15" s="5">
        <f>(154945.69+1190)/1000</f>
        <v>156.13569000000001</v>
      </c>
      <c r="L15" s="5">
        <f t="shared" si="0"/>
        <v>2498.5124699999978</v>
      </c>
      <c r="M15" s="8">
        <v>9031.26</v>
      </c>
      <c r="N15" s="8">
        <f t="shared" si="1"/>
        <v>1059.5896799999991</v>
      </c>
      <c r="O15" s="8">
        <v>2342.377</v>
      </c>
      <c r="P15" s="10">
        <v>95</v>
      </c>
      <c r="Q15" s="8">
        <f t="shared" si="2"/>
        <v>89.499499907325955</v>
      </c>
      <c r="S15" s="7"/>
    </row>
    <row r="16" spans="2:19" ht="57" x14ac:dyDescent="0.25">
      <c r="B16" s="1">
        <v>9</v>
      </c>
      <c r="C16" s="3" t="s">
        <v>28</v>
      </c>
      <c r="D16" s="19"/>
      <c r="E16" s="19"/>
      <c r="F16" s="4">
        <v>45046</v>
      </c>
      <c r="G16" s="5">
        <f>16166063.47/1000</f>
        <v>16166.063470000001</v>
      </c>
      <c r="H16" s="5">
        <f>21179393.63/1000</f>
        <v>21179.393629999999</v>
      </c>
      <c r="I16" s="5">
        <f>12901093.63/1000</f>
        <v>12901.093630000001</v>
      </c>
      <c r="J16" s="5">
        <f>(10965929.59+1677142.17)/1000</f>
        <v>12643.071759999999</v>
      </c>
      <c r="K16" s="5">
        <f>(258021.87+3264969.84)/1000</f>
        <v>3522.9917099999998</v>
      </c>
      <c r="L16" s="5">
        <f t="shared" si="0"/>
        <v>8536.3218699999961</v>
      </c>
      <c r="M16" s="8">
        <v>15181.81</v>
      </c>
      <c r="N16" s="8">
        <f t="shared" si="1"/>
        <v>5997.5836299999992</v>
      </c>
      <c r="O16" s="8">
        <v>6824.0110000000004</v>
      </c>
      <c r="P16" s="10">
        <v>78</v>
      </c>
      <c r="Q16" s="8">
        <f t="shared" si="2"/>
        <v>71.681986109816691</v>
      </c>
      <c r="S16" s="7"/>
    </row>
    <row r="17" spans="3:17" x14ac:dyDescent="0.25">
      <c r="O17" s="7"/>
    </row>
    <row r="19" spans="3:17" x14ac:dyDescent="0.25">
      <c r="C19" s="13" t="s">
        <v>32</v>
      </c>
      <c r="F19" t="s">
        <v>31</v>
      </c>
      <c r="H19" s="7"/>
      <c r="I19" s="7"/>
      <c r="P19" s="15" t="s">
        <v>35</v>
      </c>
      <c r="Q19" s="16">
        <v>44943</v>
      </c>
    </row>
    <row r="20" spans="3:17" x14ac:dyDescent="0.25">
      <c r="C20" s="13" t="s">
        <v>30</v>
      </c>
      <c r="F20" s="15" t="s">
        <v>30</v>
      </c>
    </row>
    <row r="21" spans="3:17" x14ac:dyDescent="0.25">
      <c r="C21" s="14"/>
      <c r="I21" s="7"/>
      <c r="J21" s="7"/>
    </row>
    <row r="22" spans="3:17" x14ac:dyDescent="0.25">
      <c r="C22" s="15" t="s">
        <v>33</v>
      </c>
      <c r="F22" s="15" t="s">
        <v>34</v>
      </c>
    </row>
  </sheetData>
  <mergeCells count="13">
    <mergeCell ref="B6:B7"/>
    <mergeCell ref="C6:C7"/>
    <mergeCell ref="D6:D7"/>
    <mergeCell ref="B3:Q3"/>
    <mergeCell ref="O6:O7"/>
    <mergeCell ref="P6:P7"/>
    <mergeCell ref="Q6:Q7"/>
    <mergeCell ref="D8:D16"/>
    <mergeCell ref="E6:E7"/>
    <mergeCell ref="E8:E16"/>
    <mergeCell ref="M6:M7"/>
    <mergeCell ref="N6:N7"/>
    <mergeCell ref="F6:L6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interventii</dc:creator>
  <cp:lastModifiedBy>boldor.ioana</cp:lastModifiedBy>
  <cp:lastPrinted>2023-01-17T13:28:03Z</cp:lastPrinted>
  <dcterms:created xsi:type="dcterms:W3CDTF">2023-01-13T10:30:00Z</dcterms:created>
  <dcterms:modified xsi:type="dcterms:W3CDTF">2023-01-19T14:10:48Z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27B12DADD8424CA586EDF9F0292C86CD</vt:lpwstr>
  </property>
  <property fmtid="{D5CDD505-2E9C-101B-9397-08002B2CF9AE}" pid="3" name="KSOProductBuildVer">
    <vt:lpwstr>1033-11.2.0.11440</vt:lpwstr>
  </property>
</Properties>
</file>