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/>
  <mc:AlternateContent xmlns:mc="http://schemas.openxmlformats.org/markup-compatibility/2006">
    <mc:Choice Requires="x15">
      <x15ac:absPath xmlns:x15ac="http://schemas.microsoft.com/office/spreadsheetml/2010/11/ac" url="C:\Users\Ionut.Ciherean\Desktop\PARCURI si PISTE DE CICLISTI\parc viisoara\1 Executie Parc Viisoara\actualizare viisoara conform oug 15\PH actualizare DG OUG 15\"/>
    </mc:Choice>
  </mc:AlternateContent>
  <xr:revisionPtr revIDLastSave="0" documentId="13_ncr:1_{F779545C-87A0-4560-8420-9CA4AE3EDA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G actualiz.cf.OG 15+rest exec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#REF!</definedName>
    <definedName name="AA">#REF!</definedName>
    <definedName name="ADDRESS1">'[1]master data sheet'!$C$4</definedName>
    <definedName name="ADDRESS2">'[1]master data sheet'!$C$5</definedName>
    <definedName name="b">#REF!</definedName>
    <definedName name="CC">#REF!</definedName>
    <definedName name="COMPANY">'[1]master data sheet'!$C$3</definedName>
    <definedName name="Contract_sum">#REF!</definedName>
    <definedName name="CvcMaintenanceTotalCost">[2]CVC!$F$27</definedName>
    <definedName name="CvcTotalPlannedMargin">[2]CVC!$G$33</definedName>
    <definedName name="dg">#REF!</definedName>
    <definedName name="DirectSubConLiability">#REF!</definedName>
    <definedName name="DirectSuppliersLiability">#REF!</definedName>
    <definedName name="ds">#REF!</definedName>
    <definedName name="Duration">#REF!</definedName>
    <definedName name="E">#REF!</definedName>
    <definedName name="Euro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GIFA">#REF!</definedName>
    <definedName name="ISSUE_DATE">'[1]master data sheet'!$C$14</definedName>
    <definedName name="Job_No">#REF!</definedName>
    <definedName name="JOB_NR">'[1]master data sheet'!$C$9</definedName>
    <definedName name="KK">[3]CASHFLOW!#REF!</definedName>
    <definedName name="PrelimsCumPL">[2]Prelims!$E$52</definedName>
    <definedName name="_xlnm.Print_Area" localSheetId="0">'DG actualiz.cf.OG 15+rest exec'!$A$1:$P$128</definedName>
    <definedName name="PROJECT">#REF!</definedName>
    <definedName name="PROJECTED_TOTAL">#REF!</definedName>
    <definedName name="RE">#REF!</definedName>
    <definedName name="ReconciliationPrevious3">[4]Summary!#REF!</definedName>
    <definedName name="Retention_percentage">'[1]master data sheet'!$C$23</definedName>
    <definedName name="Retention_period">'[1]master data sheet'!$C$22</definedName>
    <definedName name="RTH">[5]Summary!#REF!</definedName>
    <definedName name="S.1">'[6]1'!$D$21</definedName>
    <definedName name="S.10">'[7]10'!$D$21</definedName>
    <definedName name="S.2">'[8]2'!$D$21</definedName>
    <definedName name="S.3">'[9]3'!$D$21</definedName>
    <definedName name="S.4">'[10]4'!$D$21</definedName>
    <definedName name="S.5">'[11]5'!$D$21</definedName>
    <definedName name="S.6">'[12]6'!$D$21</definedName>
    <definedName name="S.7">'[13]7'!$D$21</definedName>
    <definedName name="S.8">'[14]8'!$D$21</definedName>
    <definedName name="S.9">'[15]9'!$D$21</definedName>
    <definedName name="SD">#REF!</definedName>
    <definedName name="Site_Clearance">#REF!</definedName>
    <definedName name="ss">#REF!</definedName>
    <definedName name="Start_date">#REF!</definedName>
    <definedName name="TIT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6" i="1" l="1"/>
  <c r="M37" i="1"/>
  <c r="M17" i="1"/>
  <c r="N16" i="1"/>
  <c r="O16" i="1" s="1"/>
  <c r="P16" i="1" s="1"/>
  <c r="N17" i="1"/>
  <c r="O17" i="1" s="1"/>
  <c r="P17" i="1" s="1"/>
  <c r="M16" i="1"/>
  <c r="M33" i="1"/>
  <c r="P33" i="1" s="1"/>
  <c r="M34" i="1"/>
  <c r="P34" i="1" s="1"/>
  <c r="M118" i="1"/>
  <c r="N118" i="1"/>
  <c r="O118" i="1"/>
  <c r="P118" i="1"/>
  <c r="M42" i="1"/>
  <c r="N42" i="1"/>
  <c r="P42" i="1"/>
  <c r="J103" i="1"/>
  <c r="D103" i="1"/>
  <c r="D102" i="1" s="1"/>
  <c r="E102" i="1"/>
  <c r="G102" i="1"/>
  <c r="H102" i="1"/>
  <c r="C102" i="1"/>
  <c r="H77" i="1"/>
  <c r="G77" i="1"/>
  <c r="C120" i="1" l="1"/>
  <c r="D113" i="1"/>
  <c r="C113" i="1"/>
  <c r="J102" i="1"/>
  <c r="D51" i="1"/>
  <c r="K51" i="1"/>
  <c r="H18" i="1"/>
  <c r="C18" i="1"/>
  <c r="J13" i="1"/>
  <c r="J18" i="1" s="1"/>
  <c r="K15" i="1"/>
  <c r="K14" i="1"/>
  <c r="K118" i="1"/>
  <c r="K104" i="1"/>
  <c r="K103" i="1"/>
  <c r="K89" i="1"/>
  <c r="K90" i="1"/>
  <c r="K91" i="1"/>
  <c r="J88" i="1"/>
  <c r="K88" i="1" s="1"/>
  <c r="K84" i="1"/>
  <c r="K85" i="1"/>
  <c r="K86" i="1"/>
  <c r="J83" i="1"/>
  <c r="J82" i="1" s="1"/>
  <c r="K79" i="1"/>
  <c r="K80" i="1"/>
  <c r="K81" i="1"/>
  <c r="J78" i="1"/>
  <c r="J77" i="1" s="1"/>
  <c r="K75" i="1"/>
  <c r="K76" i="1"/>
  <c r="J74" i="1"/>
  <c r="K74" i="1" s="1"/>
  <c r="K67" i="1"/>
  <c r="K68" i="1"/>
  <c r="K69" i="1"/>
  <c r="K70" i="1"/>
  <c r="K71" i="1"/>
  <c r="K72" i="1"/>
  <c r="K73" i="1"/>
  <c r="J66" i="1"/>
  <c r="K66" i="1" s="1"/>
  <c r="K56" i="1"/>
  <c r="K57" i="1"/>
  <c r="K58" i="1"/>
  <c r="K59" i="1"/>
  <c r="K60" i="1"/>
  <c r="K61" i="1"/>
  <c r="K62" i="1"/>
  <c r="K63" i="1"/>
  <c r="K64" i="1"/>
  <c r="K65" i="1"/>
  <c r="J55" i="1"/>
  <c r="K92" i="1"/>
  <c r="F106" i="1"/>
  <c r="F107" i="1"/>
  <c r="G105" i="1"/>
  <c r="G113" i="1" s="1"/>
  <c r="H105" i="1"/>
  <c r="H113" i="1" s="1"/>
  <c r="I94" i="1"/>
  <c r="L94" i="1" s="1"/>
  <c r="I95" i="1"/>
  <c r="L95" i="1" s="1"/>
  <c r="H87" i="1"/>
  <c r="G87" i="1"/>
  <c r="H82" i="1"/>
  <c r="G82" i="1"/>
  <c r="H55" i="1"/>
  <c r="G55" i="1"/>
  <c r="F78" i="1"/>
  <c r="I78" i="1" s="1"/>
  <c r="F79" i="1"/>
  <c r="I79" i="1" s="1"/>
  <c r="L79" i="1" s="1"/>
  <c r="F80" i="1"/>
  <c r="I80" i="1" s="1"/>
  <c r="F81" i="1"/>
  <c r="I81" i="1" s="1"/>
  <c r="F83" i="1"/>
  <c r="I83" i="1" s="1"/>
  <c r="F84" i="1"/>
  <c r="I84" i="1" s="1"/>
  <c r="F85" i="1"/>
  <c r="I85" i="1" s="1"/>
  <c r="F86" i="1"/>
  <c r="I86" i="1" s="1"/>
  <c r="F88" i="1"/>
  <c r="I88" i="1" s="1"/>
  <c r="L88" i="1" s="1"/>
  <c r="F89" i="1"/>
  <c r="I89" i="1" s="1"/>
  <c r="F90" i="1"/>
  <c r="I90" i="1" s="1"/>
  <c r="L90" i="1" s="1"/>
  <c r="F91" i="1"/>
  <c r="I91" i="1" s="1"/>
  <c r="F56" i="1"/>
  <c r="F57" i="1"/>
  <c r="I57" i="1" s="1"/>
  <c r="F58" i="1"/>
  <c r="I58" i="1" s="1"/>
  <c r="L58" i="1" s="1"/>
  <c r="F59" i="1"/>
  <c r="I59" i="1" s="1"/>
  <c r="F60" i="1"/>
  <c r="I60" i="1" s="1"/>
  <c r="L60" i="1" s="1"/>
  <c r="F61" i="1"/>
  <c r="I61" i="1" s="1"/>
  <c r="F62" i="1"/>
  <c r="I62" i="1" s="1"/>
  <c r="F63" i="1"/>
  <c r="I63" i="1" s="1"/>
  <c r="F64" i="1"/>
  <c r="I64" i="1" s="1"/>
  <c r="L64" i="1" s="1"/>
  <c r="F65" i="1"/>
  <c r="I65" i="1" s="1"/>
  <c r="L65" i="1" s="1"/>
  <c r="F66" i="1"/>
  <c r="I66" i="1" s="1"/>
  <c r="F67" i="1"/>
  <c r="I67" i="1" s="1"/>
  <c r="F68" i="1"/>
  <c r="I68" i="1" s="1"/>
  <c r="L68" i="1" s="1"/>
  <c r="F69" i="1"/>
  <c r="I69" i="1" s="1"/>
  <c r="F70" i="1"/>
  <c r="I70" i="1" s="1"/>
  <c r="L70" i="1" s="1"/>
  <c r="F71" i="1"/>
  <c r="I71" i="1" s="1"/>
  <c r="F72" i="1"/>
  <c r="I72" i="1" s="1"/>
  <c r="L72" i="1" s="1"/>
  <c r="F73" i="1"/>
  <c r="I73" i="1" s="1"/>
  <c r="F74" i="1"/>
  <c r="I74" i="1" s="1"/>
  <c r="F75" i="1"/>
  <c r="I75" i="1" s="1"/>
  <c r="F76" i="1"/>
  <c r="I76" i="1" s="1"/>
  <c r="L76" i="1" s="1"/>
  <c r="G13" i="1"/>
  <c r="G18" i="1" s="1"/>
  <c r="F14" i="1"/>
  <c r="I14" i="1" s="1"/>
  <c r="L14" i="1" s="1"/>
  <c r="F15" i="1"/>
  <c r="I15" i="1" s="1"/>
  <c r="E13" i="1"/>
  <c r="E18" i="1" s="1"/>
  <c r="D13" i="1"/>
  <c r="E87" i="1"/>
  <c r="E82" i="1"/>
  <c r="E77" i="1"/>
  <c r="E55" i="1"/>
  <c r="D87" i="1"/>
  <c r="D82" i="1"/>
  <c r="D77" i="1"/>
  <c r="D55" i="1"/>
  <c r="J20" i="1"/>
  <c r="K20" i="1" s="1"/>
  <c r="K25" i="1" s="1"/>
  <c r="K21" i="1"/>
  <c r="K22" i="1"/>
  <c r="K23" i="1"/>
  <c r="K24" i="1"/>
  <c r="G20" i="1"/>
  <c r="G25" i="1" s="1"/>
  <c r="H20" i="1"/>
  <c r="H25" i="1" s="1"/>
  <c r="F21" i="1"/>
  <c r="I21" i="1" s="1"/>
  <c r="F22" i="1"/>
  <c r="I22" i="1" s="1"/>
  <c r="F23" i="1"/>
  <c r="I23" i="1" s="1"/>
  <c r="F24" i="1"/>
  <c r="I24" i="1" s="1"/>
  <c r="E20" i="1"/>
  <c r="D20" i="1"/>
  <c r="I117" i="1"/>
  <c r="I116" i="1"/>
  <c r="G118" i="1"/>
  <c r="H118" i="1"/>
  <c r="H43" i="1"/>
  <c r="G43" i="1"/>
  <c r="H47" i="1"/>
  <c r="H46" i="1" s="1"/>
  <c r="G47" i="1"/>
  <c r="G46" i="1" s="1"/>
  <c r="F47" i="1"/>
  <c r="F12" i="1"/>
  <c r="I12" i="1" s="1"/>
  <c r="F16" i="1"/>
  <c r="I16" i="1" s="1"/>
  <c r="F17" i="1"/>
  <c r="I17" i="1" s="1"/>
  <c r="C25" i="1"/>
  <c r="C28" i="1"/>
  <c r="E28" i="1"/>
  <c r="F28" i="1" s="1"/>
  <c r="E29" i="1"/>
  <c r="F29" i="1" s="1"/>
  <c r="F30" i="1"/>
  <c r="I30" i="1" s="1"/>
  <c r="L30" i="1" s="1"/>
  <c r="E31" i="1"/>
  <c r="F31" i="1" s="1"/>
  <c r="E32" i="1"/>
  <c r="F32" i="1" s="1"/>
  <c r="F33" i="1"/>
  <c r="I33" i="1" s="1"/>
  <c r="L33" i="1" s="1"/>
  <c r="F34" i="1"/>
  <c r="I34" i="1" s="1"/>
  <c r="L34" i="1" s="1"/>
  <c r="E35" i="1"/>
  <c r="F35" i="1" s="1"/>
  <c r="F36" i="1"/>
  <c r="I36" i="1" s="1"/>
  <c r="L36" i="1" s="1"/>
  <c r="F37" i="1"/>
  <c r="I37" i="1" s="1"/>
  <c r="L37" i="1" s="1"/>
  <c r="E38" i="1"/>
  <c r="F38" i="1" s="1"/>
  <c r="F39" i="1"/>
  <c r="I39" i="1" s="1"/>
  <c r="L39" i="1" s="1"/>
  <c r="F40" i="1"/>
  <c r="I40" i="1" s="1"/>
  <c r="L40" i="1" s="1"/>
  <c r="F41" i="1"/>
  <c r="I41" i="1" s="1"/>
  <c r="L41" i="1" s="1"/>
  <c r="F42" i="1"/>
  <c r="I42" i="1" s="1"/>
  <c r="L42" i="1" s="1"/>
  <c r="O42" i="1" s="1"/>
  <c r="C43" i="1"/>
  <c r="F43" i="1"/>
  <c r="F44" i="1"/>
  <c r="I44" i="1" s="1"/>
  <c r="L44" i="1" s="1"/>
  <c r="F45" i="1"/>
  <c r="I45" i="1" s="1"/>
  <c r="L45" i="1" s="1"/>
  <c r="C46" i="1"/>
  <c r="E46" i="1"/>
  <c r="F46" i="1" s="1"/>
  <c r="F48" i="1"/>
  <c r="I48" i="1" s="1"/>
  <c r="L48" i="1" s="1"/>
  <c r="F49" i="1"/>
  <c r="I49" i="1" s="1"/>
  <c r="L49" i="1" s="1"/>
  <c r="F50" i="1"/>
  <c r="I50" i="1" s="1"/>
  <c r="L50" i="1" s="1"/>
  <c r="F92" i="1"/>
  <c r="I92" i="1" s="1"/>
  <c r="L92" i="1" s="1"/>
  <c r="F93" i="1"/>
  <c r="I93" i="1" s="1"/>
  <c r="F96" i="1"/>
  <c r="I96" i="1" s="1"/>
  <c r="L96" i="1" s="1"/>
  <c r="F97" i="1"/>
  <c r="I97" i="1" s="1"/>
  <c r="L97" i="1" s="1"/>
  <c r="F98" i="1"/>
  <c r="I98" i="1" s="1"/>
  <c r="L98" i="1" s="1"/>
  <c r="M98" i="1" s="1"/>
  <c r="N98" i="1" s="1"/>
  <c r="O98" i="1" s="1"/>
  <c r="P98" i="1" s="1"/>
  <c r="C99" i="1"/>
  <c r="F103" i="1"/>
  <c r="F104" i="1"/>
  <c r="I104" i="1" s="1"/>
  <c r="L104" i="1" s="1"/>
  <c r="E105" i="1"/>
  <c r="F105" i="1" s="1"/>
  <c r="I106" i="1"/>
  <c r="O106" i="1" s="1"/>
  <c r="F108" i="1"/>
  <c r="F109" i="1"/>
  <c r="F110" i="1"/>
  <c r="I110" i="1" s="1"/>
  <c r="F111" i="1"/>
  <c r="F112" i="1"/>
  <c r="I112" i="1" s="1"/>
  <c r="L112" i="1" s="1"/>
  <c r="C118" i="1"/>
  <c r="D118" i="1"/>
  <c r="E118" i="1"/>
  <c r="F118" i="1"/>
  <c r="F51" i="1" l="1"/>
  <c r="M30" i="1"/>
  <c r="N30" i="1"/>
  <c r="O30" i="1"/>
  <c r="L71" i="1"/>
  <c r="L89" i="1"/>
  <c r="L81" i="1"/>
  <c r="K13" i="1"/>
  <c r="K18" i="1" s="1"/>
  <c r="M97" i="1"/>
  <c r="N97" i="1"/>
  <c r="N48" i="1"/>
  <c r="O48" i="1" s="1"/>
  <c r="P48" i="1" s="1"/>
  <c r="L47" i="1"/>
  <c r="M48" i="1"/>
  <c r="M50" i="1"/>
  <c r="N50" i="1"/>
  <c r="N44" i="1"/>
  <c r="L43" i="1"/>
  <c r="M44" i="1"/>
  <c r="M39" i="1"/>
  <c r="N39" i="1"/>
  <c r="O39" i="1" s="1"/>
  <c r="P39" i="1" s="1"/>
  <c r="N33" i="1"/>
  <c r="O33" i="1"/>
  <c r="G51" i="1"/>
  <c r="M49" i="1"/>
  <c r="N49" i="1"/>
  <c r="O49" i="1" s="1"/>
  <c r="P49" i="1" s="1"/>
  <c r="H51" i="1"/>
  <c r="L15" i="1"/>
  <c r="L73" i="1"/>
  <c r="L67" i="1"/>
  <c r="L61" i="1"/>
  <c r="L84" i="1"/>
  <c r="M95" i="1"/>
  <c r="N95" i="1"/>
  <c r="O95" i="1" s="1"/>
  <c r="P95" i="1" s="1"/>
  <c r="N37" i="1"/>
  <c r="O37" i="1" s="1"/>
  <c r="P37" i="1" s="1"/>
  <c r="M14" i="1"/>
  <c r="N14" i="1"/>
  <c r="O14" i="1" s="1"/>
  <c r="P14" i="1" s="1"/>
  <c r="M94" i="1"/>
  <c r="N94" i="1"/>
  <c r="O94" i="1" s="1"/>
  <c r="P94" i="1" s="1"/>
  <c r="M112" i="1"/>
  <c r="N112" i="1"/>
  <c r="O112" i="1" s="1"/>
  <c r="P112" i="1" s="1"/>
  <c r="N104" i="1"/>
  <c r="O104" i="1" s="1"/>
  <c r="P104" i="1" s="1"/>
  <c r="M104" i="1"/>
  <c r="C51" i="1"/>
  <c r="L80" i="1"/>
  <c r="N96" i="1"/>
  <c r="O96" i="1" s="1"/>
  <c r="P96" i="1" s="1"/>
  <c r="M96" i="1"/>
  <c r="N36" i="1"/>
  <c r="O36" i="1" s="1"/>
  <c r="P36" i="1" s="1"/>
  <c r="M36" i="1"/>
  <c r="M41" i="1"/>
  <c r="N41" i="1"/>
  <c r="O41" i="1"/>
  <c r="P41" i="1" s="1"/>
  <c r="M92" i="1"/>
  <c r="N92" i="1"/>
  <c r="O92" i="1" s="1"/>
  <c r="P92" i="1" s="1"/>
  <c r="N45" i="1"/>
  <c r="O45" i="1" s="1"/>
  <c r="M45" i="1"/>
  <c r="M40" i="1"/>
  <c r="N40" i="1"/>
  <c r="O40" i="1" s="1"/>
  <c r="P40" i="1" s="1"/>
  <c r="O34" i="1"/>
  <c r="N34" i="1"/>
  <c r="L75" i="1"/>
  <c r="L63" i="1"/>
  <c r="L57" i="1"/>
  <c r="L86" i="1"/>
  <c r="L91" i="1"/>
  <c r="L66" i="1"/>
  <c r="L62" i="1"/>
  <c r="L85" i="1"/>
  <c r="L74" i="1"/>
  <c r="L59" i="1"/>
  <c r="L69" i="1"/>
  <c r="F55" i="1"/>
  <c r="I55" i="1" s="1"/>
  <c r="L93" i="1"/>
  <c r="C119" i="1"/>
  <c r="D18" i="1"/>
  <c r="K78" i="1"/>
  <c r="L78" i="1" s="1"/>
  <c r="E113" i="1"/>
  <c r="K102" i="1"/>
  <c r="K113" i="1" s="1"/>
  <c r="I56" i="1"/>
  <c r="L56" i="1" s="1"/>
  <c r="E51" i="1"/>
  <c r="I103" i="1"/>
  <c r="L103" i="1" s="1"/>
  <c r="F102" i="1"/>
  <c r="F113" i="1" s="1"/>
  <c r="F77" i="1"/>
  <c r="I77" i="1" s="1"/>
  <c r="J87" i="1"/>
  <c r="K87" i="1" s="1"/>
  <c r="K83" i="1"/>
  <c r="K82" i="1" s="1"/>
  <c r="K55" i="1"/>
  <c r="H54" i="1"/>
  <c r="M55" i="1"/>
  <c r="F87" i="1"/>
  <c r="I87" i="1" s="1"/>
  <c r="F82" i="1"/>
  <c r="I82" i="1" s="1"/>
  <c r="G54" i="1"/>
  <c r="G120" i="1" s="1"/>
  <c r="E54" i="1"/>
  <c r="D54" i="1"/>
  <c r="D99" i="1" s="1"/>
  <c r="F13" i="1"/>
  <c r="F18" i="1" s="1"/>
  <c r="L21" i="1"/>
  <c r="L24" i="1"/>
  <c r="L23" i="1"/>
  <c r="M23" i="1" s="1"/>
  <c r="L22" i="1"/>
  <c r="M22" i="1" s="1"/>
  <c r="F20" i="1"/>
  <c r="F25" i="1" s="1"/>
  <c r="I43" i="1"/>
  <c r="I118" i="1"/>
  <c r="I38" i="1"/>
  <c r="L38" i="1" s="1"/>
  <c r="I47" i="1"/>
  <c r="I29" i="1"/>
  <c r="L29" i="1" s="1"/>
  <c r="I28" i="1"/>
  <c r="E25" i="1"/>
  <c r="D25" i="1"/>
  <c r="I35" i="1"/>
  <c r="I46" i="1"/>
  <c r="I32" i="1"/>
  <c r="L32" i="1" s="1"/>
  <c r="I31" i="1"/>
  <c r="L31" i="1" s="1"/>
  <c r="P30" i="1" l="1"/>
  <c r="O97" i="1"/>
  <c r="P97" i="1" s="1"/>
  <c r="M31" i="1"/>
  <c r="N31" i="1"/>
  <c r="O31" i="1" s="1"/>
  <c r="P31" i="1" s="1"/>
  <c r="M29" i="1"/>
  <c r="L28" i="1"/>
  <c r="N29" i="1"/>
  <c r="N28" i="1" s="1"/>
  <c r="L55" i="1"/>
  <c r="M43" i="1"/>
  <c r="O50" i="1"/>
  <c r="P50" i="1" s="1"/>
  <c r="N32" i="1"/>
  <c r="O32" i="1" s="1"/>
  <c r="P32" i="1" s="1"/>
  <c r="M32" i="1"/>
  <c r="M15" i="1"/>
  <c r="M21" i="1" s="1"/>
  <c r="N15" i="1"/>
  <c r="O15" i="1" s="1"/>
  <c r="P15" i="1" s="1"/>
  <c r="L102" i="1"/>
  <c r="M103" i="1"/>
  <c r="N103" i="1"/>
  <c r="O103" i="1" s="1"/>
  <c r="P103" i="1" s="1"/>
  <c r="N43" i="1"/>
  <c r="N38" i="1"/>
  <c r="O38" i="1" s="1"/>
  <c r="P38" i="1" s="1"/>
  <c r="M38" i="1"/>
  <c r="L82" i="1"/>
  <c r="N93" i="1"/>
  <c r="M93" i="1"/>
  <c r="O93" i="1"/>
  <c r="P93" i="1" s="1"/>
  <c r="L35" i="1"/>
  <c r="O44" i="1"/>
  <c r="P44" i="1" s="1"/>
  <c r="L46" i="1"/>
  <c r="M47" i="1"/>
  <c r="N47" i="1"/>
  <c r="N46" i="1" s="1"/>
  <c r="O43" i="1"/>
  <c r="P45" i="1"/>
  <c r="L87" i="1"/>
  <c r="K77" i="1"/>
  <c r="D119" i="1"/>
  <c r="D120" i="1"/>
  <c r="I102" i="1"/>
  <c r="I51" i="1"/>
  <c r="F54" i="1"/>
  <c r="F99" i="1" s="1"/>
  <c r="F119" i="1" s="1"/>
  <c r="L77" i="1"/>
  <c r="L83" i="1"/>
  <c r="H99" i="1"/>
  <c r="H119" i="1" s="1"/>
  <c r="H120" i="1"/>
  <c r="E99" i="1"/>
  <c r="E120" i="1"/>
  <c r="J54" i="1"/>
  <c r="K54" i="1"/>
  <c r="G99" i="1"/>
  <c r="G119" i="1" s="1"/>
  <c r="M56" i="1"/>
  <c r="I13" i="1"/>
  <c r="I54" i="1"/>
  <c r="I20" i="1"/>
  <c r="O29" i="1" l="1"/>
  <c r="M28" i="1"/>
  <c r="M35" i="1"/>
  <c r="N35" i="1"/>
  <c r="N51" i="1" s="1"/>
  <c r="N102" i="1"/>
  <c r="O102" i="1" s="1"/>
  <c r="P102" i="1" s="1"/>
  <c r="M102" i="1"/>
  <c r="O47" i="1"/>
  <c r="O46" i="1" s="1"/>
  <c r="P47" i="1"/>
  <c r="P46" i="1" s="1"/>
  <c r="M46" i="1"/>
  <c r="P43" i="1"/>
  <c r="F120" i="1"/>
  <c r="L54" i="1"/>
  <c r="I18" i="1"/>
  <c r="L13" i="1"/>
  <c r="K99" i="1"/>
  <c r="K120" i="1"/>
  <c r="J99" i="1"/>
  <c r="J120" i="1"/>
  <c r="E119" i="1"/>
  <c r="I99" i="1"/>
  <c r="I120" i="1"/>
  <c r="I108" i="1"/>
  <c r="I107" i="1"/>
  <c r="I109" i="1"/>
  <c r="I25" i="1"/>
  <c r="L20" i="1"/>
  <c r="M51" i="1" l="1"/>
  <c r="P29" i="1"/>
  <c r="P28" i="1" s="1"/>
  <c r="O28" i="1"/>
  <c r="N20" i="1"/>
  <c r="N25" i="1" s="1"/>
  <c r="M20" i="1"/>
  <c r="M25" i="1" s="1"/>
  <c r="L99" i="1"/>
  <c r="N54" i="1"/>
  <c r="N99" i="1" s="1"/>
  <c r="M54" i="1"/>
  <c r="M99" i="1" s="1"/>
  <c r="O35" i="1"/>
  <c r="P35" i="1" s="1"/>
  <c r="P51" i="1" s="1"/>
  <c r="N13" i="1"/>
  <c r="O13" i="1" s="1"/>
  <c r="M13" i="1"/>
  <c r="K119" i="1"/>
  <c r="L18" i="1"/>
  <c r="I111" i="1"/>
  <c r="L120" i="1"/>
  <c r="I105" i="1"/>
  <c r="J35" i="1"/>
  <c r="L110" i="1"/>
  <c r="N110" i="1" s="1"/>
  <c r="L106" i="1"/>
  <c r="J105" i="1"/>
  <c r="J113" i="1" s="1"/>
  <c r="N106" i="1" l="1"/>
  <c r="P106" i="1" s="1"/>
  <c r="O51" i="1"/>
  <c r="P13" i="1"/>
  <c r="O18" i="1"/>
  <c r="M110" i="1"/>
  <c r="O110" i="1"/>
  <c r="P110" i="1" s="1"/>
  <c r="M18" i="1"/>
  <c r="M24" i="1" s="1"/>
  <c r="M120" i="1"/>
  <c r="O54" i="1"/>
  <c r="O20" i="1"/>
  <c r="N120" i="1"/>
  <c r="N18" i="1"/>
  <c r="I113" i="1"/>
  <c r="I119" i="1" s="1"/>
  <c r="P20" i="1" l="1"/>
  <c r="P25" i="1" s="1"/>
  <c r="O25" i="1"/>
  <c r="O99" i="1"/>
  <c r="P54" i="1"/>
  <c r="P99" i="1" s="1"/>
  <c r="O120" i="1"/>
  <c r="P18" i="1"/>
  <c r="J47" i="1"/>
  <c r="J46" i="1" s="1"/>
  <c r="J51" i="1" s="1"/>
  <c r="P120" i="1" l="1"/>
  <c r="J118" i="1"/>
  <c r="L118" i="1"/>
  <c r="J25" i="1"/>
  <c r="J119" i="1" s="1"/>
  <c r="L111" i="1" l="1"/>
  <c r="L51" i="1"/>
  <c r="N111" i="1" l="1"/>
  <c r="O111" i="1" s="1"/>
  <c r="P111" i="1" s="1"/>
  <c r="M111" i="1"/>
  <c r="L109" i="1"/>
  <c r="N109" i="1" s="1"/>
  <c r="L108" i="1"/>
  <c r="N108" i="1" s="1"/>
  <c r="L107" i="1"/>
  <c r="N107" i="1" s="1"/>
  <c r="N105" i="1" s="1"/>
  <c r="M107" i="1" l="1"/>
  <c r="M108" i="1"/>
  <c r="O108" i="1"/>
  <c r="P108" i="1" s="1"/>
  <c r="M109" i="1"/>
  <c r="O109" i="1"/>
  <c r="P109" i="1" s="1"/>
  <c r="L105" i="1"/>
  <c r="L113" i="1" s="1"/>
  <c r="L25" i="1"/>
  <c r="N113" i="1" l="1"/>
  <c r="N119" i="1" s="1"/>
  <c r="O107" i="1"/>
  <c r="M105" i="1"/>
  <c r="M113" i="1" s="1"/>
  <c r="M119" i="1" s="1"/>
  <c r="L119" i="1"/>
  <c r="P107" i="1" l="1"/>
  <c r="P105" i="1" s="1"/>
  <c r="P113" i="1" s="1"/>
  <c r="P119" i="1" s="1"/>
  <c r="O105" i="1"/>
  <c r="O113" i="1" s="1"/>
  <c r="O119" i="1" s="1"/>
  <c r="S1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7" authorId="0" shapeId="0" xr:uid="{BB663473-A2B1-4624-9D54-0D2D57B8ED9E}">
      <text>
        <r>
          <rPr>
            <b/>
            <sz val="9"/>
            <color indexed="81"/>
            <rFont val="Tahoma"/>
            <family val="2"/>
            <charset val="238"/>
          </rPr>
          <t>Us</t>
        </r>
        <r>
          <rPr>
            <b/>
            <sz val="14"/>
            <color indexed="81"/>
            <rFont val="Times New Roman"/>
            <family val="1"/>
            <charset val="238"/>
          </rPr>
          <t>er:</t>
        </r>
        <r>
          <rPr>
            <sz val="14"/>
            <color indexed="81"/>
            <rFont val="Times New Roman"/>
            <family val="1"/>
            <charset val="238"/>
          </rPr>
          <t xml:space="preserve">
Val.contr.initial+OG114+NCS corp C (Act ad. 2)
</t>
        </r>
      </text>
    </comment>
  </commentList>
</comments>
</file>

<file path=xl/sharedStrings.xml><?xml version="1.0" encoding="utf-8"?>
<sst xmlns="http://schemas.openxmlformats.org/spreadsheetml/2006/main" count="204" uniqueCount="193">
  <si>
    <t>Nr. Crt.</t>
  </si>
  <si>
    <t>Denumire capitol si subcapitol de cheltuieli</t>
  </si>
  <si>
    <t>1.1</t>
  </si>
  <si>
    <t>Obtinerea terenului</t>
  </si>
  <si>
    <t>1.2</t>
  </si>
  <si>
    <t>Amenajarea terenului</t>
  </si>
  <si>
    <t>1.3</t>
  </si>
  <si>
    <t>Amenajari pentru protectia mediului si aducerea la starea initiala</t>
  </si>
  <si>
    <t>TOTAL CAPITOLUL 1</t>
  </si>
  <si>
    <t>CAPITOLUL 2 : Cheltuieli pentru asigurarea utilitatilor necesare obiectivului</t>
  </si>
  <si>
    <t>TOTAL CAPITOLUL 2</t>
  </si>
  <si>
    <t>3.1</t>
  </si>
  <si>
    <t>3.2</t>
  </si>
  <si>
    <t>3.3</t>
  </si>
  <si>
    <t>3.4</t>
  </si>
  <si>
    <t>Organizarea procedurilor de achizitie</t>
  </si>
  <si>
    <t>3.5</t>
  </si>
  <si>
    <t>Consultanta</t>
  </si>
  <si>
    <t>3.6</t>
  </si>
  <si>
    <t xml:space="preserve">Asistenta tehnica </t>
  </si>
  <si>
    <t>TOTAL CAPITOLUL 3</t>
  </si>
  <si>
    <t>4.1</t>
  </si>
  <si>
    <t>Constructii si instalatii</t>
  </si>
  <si>
    <t>4.2</t>
  </si>
  <si>
    <t>Montaj utilaj</t>
  </si>
  <si>
    <t>4.3</t>
  </si>
  <si>
    <t xml:space="preserve">Utilaje, echipamente tehnologice si functionale cu montaj </t>
  </si>
  <si>
    <t>4.4</t>
  </si>
  <si>
    <t>Utilaje fara montaj si echipamente de transport</t>
  </si>
  <si>
    <t>4.5</t>
  </si>
  <si>
    <t>Dotari</t>
  </si>
  <si>
    <t>4.6</t>
  </si>
  <si>
    <t>Active necorporale</t>
  </si>
  <si>
    <t>TOTAL CAPITOLUL 4</t>
  </si>
  <si>
    <t>5.1</t>
  </si>
  <si>
    <t>Organizare de santier</t>
  </si>
  <si>
    <t>5.1.1</t>
  </si>
  <si>
    <t>Lucrari de constructii pt. Organizarea santierului</t>
  </si>
  <si>
    <t>5.1.2</t>
  </si>
  <si>
    <t>Cheltuieli conexe organizarii santierului</t>
  </si>
  <si>
    <t>5.2</t>
  </si>
  <si>
    <t>5.3</t>
  </si>
  <si>
    <t>TOTAL CAPITOLUL 5</t>
  </si>
  <si>
    <t>6.1</t>
  </si>
  <si>
    <t>Pregatirea personalului de exploatare</t>
  </si>
  <si>
    <t>6.2</t>
  </si>
  <si>
    <t>Probe tehnologice si teste</t>
  </si>
  <si>
    <t>TOTAL CAPITOLUL 6</t>
  </si>
  <si>
    <t>Din care C+M</t>
  </si>
  <si>
    <t>Lei</t>
  </si>
  <si>
    <t>Primaria municipiului Bistrita</t>
  </si>
  <si>
    <t>2.1.</t>
  </si>
  <si>
    <t>Dirigentie de santier</t>
  </si>
  <si>
    <t>1.4</t>
  </si>
  <si>
    <t>Cheltuieli pentru relocarea/protectia utilitatilor</t>
  </si>
  <si>
    <t>Cheltuieli pentru obtinerea si amenajarea terenului</t>
  </si>
  <si>
    <t xml:space="preserve">CAPITOLUL 1 </t>
  </si>
  <si>
    <t>Cheltuieli pentru proiectare si asistenta tehnica</t>
  </si>
  <si>
    <t>CAPITOLUL 3</t>
  </si>
  <si>
    <t>Cheltuieli pentru investitia de baza</t>
  </si>
  <si>
    <t xml:space="preserve">CAPITOLUL 4 </t>
  </si>
  <si>
    <t>Alte cheltuieli</t>
  </si>
  <si>
    <t xml:space="preserve">CAPITOLUL 5 </t>
  </si>
  <si>
    <t>Cheltuieli pentru probe tehnologice, teste si predare la beneficiar</t>
  </si>
  <si>
    <t xml:space="preserve">CAPITOLUL 6 </t>
  </si>
  <si>
    <t xml:space="preserve">Studii </t>
  </si>
  <si>
    <t>Studii de teren</t>
  </si>
  <si>
    <t>3.1.1</t>
  </si>
  <si>
    <t>3.1.2</t>
  </si>
  <si>
    <t>3.1.3</t>
  </si>
  <si>
    <t>Raport privind impactul asupra mediului</t>
  </si>
  <si>
    <t xml:space="preserve">Documentatii - suport si cheltuieli  pentru obtinerea de avize, acorduri si autorizatii </t>
  </si>
  <si>
    <t>Expertiza tehnica</t>
  </si>
  <si>
    <t>Certificarea performantei energetice si auditul energetic al cladirilor</t>
  </si>
  <si>
    <t xml:space="preserve">Proiectare </t>
  </si>
  <si>
    <t>3.5.1</t>
  </si>
  <si>
    <t>3.5.2</t>
  </si>
  <si>
    <t>3.5.3</t>
  </si>
  <si>
    <t>3.5.4</t>
  </si>
  <si>
    <t>3.5.5</t>
  </si>
  <si>
    <t>3.5.6</t>
  </si>
  <si>
    <t>Tema de proiectare</t>
  </si>
  <si>
    <t>Studiu de prefezabilitate</t>
  </si>
  <si>
    <t>Studiu de fezabilitate/documentație de avizare lucrarilor de interventii si deviz general</t>
  </si>
  <si>
    <t>Verificarea tehnica de calitate a proiectului tehnic si a detaliilor de executie</t>
  </si>
  <si>
    <t>Proiect tehnic si detalii de executie</t>
  </si>
  <si>
    <t>3.7</t>
  </si>
  <si>
    <t>3.7.1</t>
  </si>
  <si>
    <t>3.7.2</t>
  </si>
  <si>
    <t>Managementul de proiect pentru obiectivul de investitii</t>
  </si>
  <si>
    <t>Auditul financiar</t>
  </si>
  <si>
    <t>3.8</t>
  </si>
  <si>
    <t>3.8.1.</t>
  </si>
  <si>
    <t>Asistenta tehnica din partea  proiectantului</t>
  </si>
  <si>
    <t>3.8.1.1</t>
  </si>
  <si>
    <t>Asistenta tehnica din partea  proiectantului pe perioada executiei lucrarilor</t>
  </si>
  <si>
    <t>3.8.1.2</t>
  </si>
  <si>
    <t>Asistenta tehnica din partea  proiectantului pentru participarea proiectantului la fazele incluse in programul de control al lucrarilor de executie, avizat de catre Inspectoratul de stat in Constructii</t>
  </si>
  <si>
    <t>Cheltuieli pentru asigurarea utilitatilor necesare obiectivului de investiții</t>
  </si>
  <si>
    <t>3.8.2.</t>
  </si>
  <si>
    <t>5.2.1</t>
  </si>
  <si>
    <t>5.2.2</t>
  </si>
  <si>
    <t>5.2.3</t>
  </si>
  <si>
    <t>5.2.4</t>
  </si>
  <si>
    <t xml:space="preserve">Comisioane, taxe, cote legale, costul creditului  </t>
  </si>
  <si>
    <t>Comisioanele și dobânzile aferente creditului bănci finanțare</t>
  </si>
  <si>
    <t>Cota aferentă ISC pentru controlul calității lucrărilor de construcții 0,5%</t>
  </si>
  <si>
    <t>Cota aferentă ISC pentru controlul statului în amenajarea teritoriului, urbanism și pentru autorizarea  lucrărilor de construcții 0,1%</t>
  </si>
  <si>
    <t>Cota aferentă Casei Sociale a Construcțiilor - CSC 0,5%</t>
  </si>
  <si>
    <t>5.2.5</t>
  </si>
  <si>
    <t>5.4</t>
  </si>
  <si>
    <t>Cheltuieli pentru informare și publicitate</t>
  </si>
  <si>
    <t>Valoare decontări anterioare (03.09.2021)</t>
  </si>
  <si>
    <t>Valoare rest de executat (03.09.2021)</t>
  </si>
  <si>
    <t>Valoare ajustări materiale cf.OG 15/2021, la  rest de executat (03.09.2021)</t>
  </si>
  <si>
    <t>Lia IVAȘCU</t>
  </si>
  <si>
    <t>DRECTOR EXECUTIV,</t>
  </si>
  <si>
    <t>ȘEF SERVICIU,</t>
  </si>
  <si>
    <t>Responsabil contract,</t>
  </si>
  <si>
    <t>TOTAL GENERAL (excl.TVA)</t>
  </si>
  <si>
    <t>Valoare deviz general aprobat  (fara TVA)</t>
  </si>
  <si>
    <t xml:space="preserve">Valoare deviz general actualizat cf.contract +Acte adiționale (fara TVA)
</t>
  </si>
  <si>
    <t xml:space="preserve">Alte studii specifice </t>
  </si>
  <si>
    <t>Cheltuieli diverse si neprevazute  5% x (1.2, 1.3, 1.4, 2, 3.5, 3.8, 4</t>
  </si>
  <si>
    <t xml:space="preserve">Documentatii tehnice necesare in vederea obtinerii avizelor/acordurilor/autorizatiilor </t>
  </si>
  <si>
    <t xml:space="preserve">Taxe pentru acorduri, avize conforme și autorizația de construire/desființare </t>
  </si>
  <si>
    <t xml:space="preserve">Bretfelean Nicoleta </t>
  </si>
  <si>
    <t xml:space="preserve">Ciherean Ioan </t>
  </si>
  <si>
    <t>6=(4-5)</t>
  </si>
  <si>
    <t>9=5+6-7+8</t>
  </si>
  <si>
    <t>Valoare cantitati (-)  Revizie proiect tehnic</t>
  </si>
  <si>
    <t>Valoare cantitati (+)  Revizie proiect tehnic</t>
  </si>
  <si>
    <t>Valoare actualizată revizie proiect tehnic</t>
  </si>
  <si>
    <t>Valoare ajustare materiale conform OG15</t>
  </si>
  <si>
    <r>
      <t>11=10*A</t>
    </r>
    <r>
      <rPr>
        <b/>
        <vertAlign val="subscript"/>
        <sz val="22"/>
        <rFont val="Times New Roman"/>
        <family val="1"/>
      </rPr>
      <t>n</t>
    </r>
    <r>
      <rPr>
        <b/>
        <sz val="22"/>
        <rFont val="Times New Roman"/>
        <family val="1"/>
      </rPr>
      <t>-10</t>
    </r>
  </si>
  <si>
    <t>lucrari pregatitoare - eligibile</t>
  </si>
  <si>
    <t>lucrari pregatitoare -neeligibile</t>
  </si>
  <si>
    <t>Bransament de apa - eligibil</t>
  </si>
  <si>
    <t>Bransament de apa - neeligibil</t>
  </si>
  <si>
    <t>Bransament electric - eligibil</t>
  </si>
  <si>
    <t>Bransament electric - neeligibil</t>
  </si>
  <si>
    <t xml:space="preserve">[1.1] PARC </t>
  </si>
  <si>
    <t xml:space="preserve">            [0008.1.1.5] 114e.Arbori - eligibil</t>
  </si>
  <si>
    <t xml:space="preserve">            [0008.1.1.6] 114n.Arbori - neeligibil</t>
  </si>
  <si>
    <t xml:space="preserve">            [0008.1.1.7] 115e.Gard viu - eligibil</t>
  </si>
  <si>
    <t xml:space="preserve">            [0008.1.1.8] 115n.Gard viu - neeligibil</t>
  </si>
  <si>
    <t xml:space="preserve">            [0008.1.1.9] 116.Foisor</t>
  </si>
  <si>
    <t xml:space="preserve">            [0008.1.1.10] 117.Punct gospodaresc</t>
  </si>
  <si>
    <t xml:space="preserve">            [0008.1.1.11] 118.Teren de sport</t>
  </si>
  <si>
    <t xml:space="preserve">            [0008.1.1.12] 121.Drum de acces</t>
  </si>
  <si>
    <t xml:space="preserve">            [0008.1.1.13] 131e.Retele electrice - eligibil</t>
  </si>
  <si>
    <t xml:space="preserve">            [0008.1.1.14] 131n.Retele electrice - neeligibil</t>
  </si>
  <si>
    <t xml:space="preserve">            [0008.1.1.15] 141.Instalatii de irigat (zona acces auto)</t>
  </si>
  <si>
    <t xml:space="preserve">            [0008.1.1.16] 142.Instalatii de irigat (zona evenimente)</t>
  </si>
  <si>
    <t xml:space="preserve">            [0008.1.1.17] 143e. Instalatii exterioare de alimentare cu apa - eligibil</t>
  </si>
  <si>
    <t xml:space="preserve">            [0008.1.1.18] 143n. Instalatii exterioare de alimentare cu apa - neeligibil</t>
  </si>
  <si>
    <t xml:space="preserve">            [0008.1.1.19] 144e. Instalatii exterioare de canalizare menajera - eligibil</t>
  </si>
  <si>
    <t xml:space="preserve">            [0008.1.1.20] 151e. Sistem de supraveghere - eligibil</t>
  </si>
  <si>
    <t xml:space="preserve">            [0008.1.1.21] 151n. Sistem de supraveghere - neeligibil</t>
  </si>
  <si>
    <t>[1.2] CASA PORTAR</t>
  </si>
  <si>
    <t xml:space="preserve">            [0008.1.2.1] 211.Arhitectura</t>
  </si>
  <si>
    <t xml:space="preserve">            [0008.1.2.2] 221.Rezistenta</t>
  </si>
  <si>
    <t xml:space="preserve">            [0008.1.2.3] 231.Instalatii electrice</t>
  </si>
  <si>
    <t xml:space="preserve">            [0008.1.2.4] 241.Instalatii sanitare</t>
  </si>
  <si>
    <t>[1.3] GRUP SANITAR (PARINTI CU BEBELUSI)</t>
  </si>
  <si>
    <t xml:space="preserve">            [0008.1.3.1] 311.Arhitectura</t>
  </si>
  <si>
    <t xml:space="preserve">            [0008.1.3.2] 321.Rezistenta</t>
  </si>
  <si>
    <t xml:space="preserve">            [0008.1.3.3] 331.Instalatii electrice</t>
  </si>
  <si>
    <t xml:space="preserve">            [0008.1.3.4] 341.Instalatii sanitare</t>
  </si>
  <si>
    <t>[1.4] GRUP SANITAR (PERSOANE CU DIZABILITATI)</t>
  </si>
  <si>
    <t xml:space="preserve">            [0008.1.4.1] 411.Arhitectura</t>
  </si>
  <si>
    <t xml:space="preserve">            [0008.1.4.2] 421.Rezistenta</t>
  </si>
  <si>
    <t xml:space="preserve">            [0008.1.4.3] 431.Instalatii electrice</t>
  </si>
  <si>
    <t xml:space="preserve">            [0008.1.4.4] 441.Instalatii sanitare</t>
  </si>
  <si>
    <t xml:space="preserve"> [0008.1.1.2] 112.Alei pietonale</t>
  </si>
  <si>
    <t xml:space="preserve"> [0008.1.1.1] 111.Parcare</t>
  </si>
  <si>
    <t xml:space="preserve"> [0008.1.1.3] 113e.Gazon semanat - eligibil</t>
  </si>
  <si>
    <t xml:space="preserve"> [0008.1.1.4] 113n.Gazon semanat - neeligibil</t>
  </si>
  <si>
    <t xml:space="preserve">eligibile </t>
  </si>
  <si>
    <t>neeligibile</t>
  </si>
  <si>
    <t xml:space="preserve">  DUPĂ APLICARE OG 15/2021</t>
  </si>
  <si>
    <t xml:space="preserve">valoare  tva </t>
  </si>
  <si>
    <t>Valoare deviz general după ajustări materiale cf.OG 15/2021 cu TVA</t>
  </si>
  <si>
    <t>EURO</t>
  </si>
  <si>
    <t>LEI</t>
  </si>
  <si>
    <t>LEI/EURO LA  21 OCT 2021</t>
  </si>
  <si>
    <t>Valoare deviz general după ajustări materiale cf.OG 15/2021 si revizuire proiect fara TVA</t>
  </si>
  <si>
    <t xml:space="preserve"> DEVIZ  GENERAL ACTUALIZAT 
AMENAJAREA UNUI  PARC PE MALURILE RÂULUI BISTRIȚA ÎN LOCALITATEA COMPONENTĂ VIIȘOARA</t>
  </si>
  <si>
    <t>Anexa nr. 2 la HCL NR.............................</t>
  </si>
  <si>
    <t>BRETFELEAN NICOLETA</t>
  </si>
  <si>
    <t xml:space="preserve">INTOCMIT </t>
  </si>
  <si>
    <t xml:space="preserve">CIHEREAN IOAN </t>
  </si>
  <si>
    <t>SEF SERVICIU ICC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</si>
</sst>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&quot;1 Euro = &quot;#,##0.0000&quot; Lei&quot;"/>
    <numFmt numFmtId="166" formatCode="0.000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22"/>
      <name val="Times New Roman"/>
      <family val="1"/>
    </font>
    <font>
      <b/>
      <sz val="22"/>
      <name val="Times New Roman"/>
      <family val="1"/>
    </font>
    <font>
      <sz val="22"/>
      <name val="Times New Roman"/>
      <family val="1"/>
      <charset val="238"/>
    </font>
    <font>
      <b/>
      <sz val="22"/>
      <name val="Times New Roman"/>
      <family val="1"/>
      <charset val="238"/>
    </font>
    <font>
      <sz val="22"/>
      <color theme="1"/>
      <name val="Times New Roman"/>
      <family val="1"/>
      <charset val="238"/>
    </font>
    <font>
      <sz val="22"/>
      <color rgb="FFFF0000"/>
      <name val="Times New Roman"/>
      <family val="1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Times New Roman"/>
      <family val="1"/>
      <charset val="238"/>
    </font>
    <font>
      <sz val="20"/>
      <color theme="1"/>
      <name val="Calibri"/>
      <family val="2"/>
      <scheme val="minor"/>
    </font>
    <font>
      <b/>
      <sz val="22"/>
      <color rgb="FFFF0000"/>
      <name val="Times New Roman"/>
      <family val="1"/>
    </font>
    <font>
      <b/>
      <sz val="9"/>
      <color indexed="81"/>
      <name val="Tahoma"/>
      <family val="2"/>
      <charset val="238"/>
    </font>
    <font>
      <b/>
      <sz val="14"/>
      <color indexed="81"/>
      <name val="Times New Roman"/>
      <family val="1"/>
      <charset val="238"/>
    </font>
    <font>
      <sz val="14"/>
      <color indexed="81"/>
      <name val="Times New Roman"/>
      <family val="1"/>
      <charset val="238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vertAlign val="subscript"/>
      <sz val="22"/>
      <name val="Times New Roman"/>
      <family val="1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Arial"/>
      <family val="2"/>
    </font>
    <font>
      <sz val="10"/>
      <color rgb="FF000000"/>
      <name val="Calibri"/>
      <family val="2"/>
    </font>
    <font>
      <b/>
      <sz val="16"/>
      <name val="Arial"/>
      <family val="2"/>
    </font>
    <font>
      <sz val="16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A4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19" fillId="11" borderId="11" applyNumberFormat="0" applyFont="0" applyAlignment="0" applyProtection="0"/>
    <xf numFmtId="0" fontId="21" fillId="0" borderId="0">
      <alignment vertical="top"/>
    </xf>
    <xf numFmtId="0" fontId="22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7" applyNumberFormat="0" applyAlignment="0" applyProtection="0"/>
    <xf numFmtId="0" fontId="30" fillId="9" borderId="8" applyNumberFormat="0" applyAlignment="0" applyProtection="0"/>
    <xf numFmtId="0" fontId="31" fillId="9" borderId="7" applyNumberFormat="0" applyAlignment="0" applyProtection="0"/>
    <xf numFmtId="0" fontId="32" fillId="0" borderId="9" applyNumberFormat="0" applyFill="0" applyAlignment="0" applyProtection="0"/>
    <xf numFmtId="0" fontId="33" fillId="10" borderId="10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2" applyNumberFormat="0" applyFill="0" applyAlignment="0" applyProtection="0"/>
    <xf numFmtId="0" fontId="37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37" fillId="35" borderId="0" applyNumberFormat="0" applyBorder="0" applyAlignment="0" applyProtection="0"/>
    <xf numFmtId="0" fontId="38" fillId="0" borderId="13">
      <alignment wrapText="1"/>
    </xf>
    <xf numFmtId="0" fontId="39" fillId="36" borderId="1">
      <alignment horizontal="left" vertical="center" wrapText="1"/>
    </xf>
  </cellStyleXfs>
  <cellXfs count="84">
    <xf numFmtId="0" fontId="0" fillId="0" borderId="0" xfId="0"/>
    <xf numFmtId="0" fontId="2" fillId="0" borderId="1" xfId="1" applyFont="1" applyBorder="1" applyAlignment="1">
      <alignment vertical="center" wrapText="1"/>
    </xf>
    <xf numFmtId="4" fontId="4" fillId="4" borderId="1" xfId="1" applyNumberFormat="1" applyFont="1" applyFill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2" fillId="0" borderId="1" xfId="1" applyNumberFormat="1" applyFont="1" applyBorder="1" applyAlignment="1">
      <alignment vertical="center" wrapText="1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49" fontId="2" fillId="0" borderId="1" xfId="1" applyNumberFormat="1" applyFont="1" applyBorder="1" applyAlignment="1" applyProtection="1">
      <alignment vertical="center" wrapText="1"/>
      <protection locked="0"/>
    </xf>
    <xf numFmtId="4" fontId="2" fillId="0" borderId="1" xfId="1" applyNumberFormat="1" applyFont="1" applyBorder="1" applyAlignment="1" applyProtection="1">
      <alignment vertical="center" wrapText="1"/>
      <protection locked="0"/>
    </xf>
    <xf numFmtId="4" fontId="17" fillId="4" borderId="1" xfId="1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7" fillId="4" borderId="1" xfId="0" applyNumberFormat="1" applyFont="1" applyFill="1" applyBorder="1" applyAlignment="1">
      <alignment vertical="center"/>
    </xf>
    <xf numFmtId="4" fontId="3" fillId="4" borderId="1" xfId="1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5" fillId="4" borderId="1" xfId="1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4" fontId="18" fillId="4" borderId="1" xfId="1" applyNumberFormat="1" applyFont="1" applyFill="1" applyBorder="1" applyAlignment="1">
      <alignment vertical="center"/>
    </xf>
    <xf numFmtId="4" fontId="2" fillId="4" borderId="1" xfId="1" applyNumberFormat="1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4" fontId="3" fillId="2" borderId="1" xfId="1" applyNumberFormat="1" applyFont="1" applyFill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4" fontId="3" fillId="4" borderId="1" xfId="1" applyNumberFormat="1" applyFont="1" applyFill="1" applyBorder="1" applyAlignment="1">
      <alignment vertical="center" wrapText="1"/>
    </xf>
    <xf numFmtId="4" fontId="18" fillId="4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0" fontId="3" fillId="4" borderId="1" xfId="1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2" fillId="0" borderId="0" xfId="1" applyFont="1" applyBorder="1" applyAlignment="1">
      <alignment vertical="center" wrapText="1"/>
    </xf>
    <xf numFmtId="164" fontId="2" fillId="0" borderId="0" xfId="1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66" fontId="5" fillId="4" borderId="1" xfId="0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vertical="center"/>
    </xf>
    <xf numFmtId="0" fontId="17" fillId="0" borderId="1" xfId="1" applyFont="1" applyBorder="1" applyAlignment="1">
      <alignment vertical="center" wrapText="1"/>
    </xf>
    <xf numFmtId="4" fontId="17" fillId="0" borderId="1" xfId="1" applyNumberFormat="1" applyFont="1" applyBorder="1" applyAlignment="1">
      <alignment vertical="center" wrapText="1"/>
    </xf>
    <xf numFmtId="4" fontId="5" fillId="0" borderId="1" xfId="1" applyNumberFormat="1" applyFont="1" applyBorder="1" applyAlignment="1">
      <alignment vertical="center" wrapText="1"/>
    </xf>
    <xf numFmtId="0" fontId="40" fillId="0" borderId="1" xfId="3" applyFont="1" applyFill="1" applyBorder="1" applyAlignment="1" applyProtection="1">
      <alignment vertical="top" wrapText="1"/>
    </xf>
    <xf numFmtId="4" fontId="41" fillId="0" borderId="1" xfId="3" applyNumberFormat="1" applyFont="1" applyFill="1" applyBorder="1" applyAlignment="1" applyProtection="1">
      <alignment vertical="top" wrapText="1"/>
    </xf>
    <xf numFmtId="4" fontId="13" fillId="4" borderId="1" xfId="1" applyNumberFormat="1" applyFont="1" applyFill="1" applyBorder="1" applyAlignment="1">
      <alignment vertical="center"/>
    </xf>
    <xf numFmtId="4" fontId="18" fillId="2" borderId="1" xfId="1" applyNumberFormat="1" applyFont="1" applyFill="1" applyBorder="1" applyAlignment="1">
      <alignment vertical="center"/>
    </xf>
    <xf numFmtId="49" fontId="2" fillId="0" borderId="1" xfId="1" applyNumberFormat="1" applyFont="1" applyBorder="1" applyAlignment="1">
      <alignment vertical="center"/>
    </xf>
    <xf numFmtId="4" fontId="2" fillId="4" borderId="1" xfId="1" applyNumberFormat="1" applyFont="1" applyFill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4" fontId="4" fillId="4" borderId="1" xfId="1" applyNumberFormat="1" applyFont="1" applyFill="1" applyBorder="1" applyAlignment="1">
      <alignment vertical="center" wrapText="1"/>
    </xf>
    <xf numFmtId="4" fontId="3" fillId="3" borderId="1" xfId="1" applyNumberFormat="1" applyFont="1" applyFill="1" applyBorder="1" applyAlignment="1">
      <alignment vertical="center"/>
    </xf>
    <xf numFmtId="4" fontId="3" fillId="3" borderId="2" xfId="1" applyNumberFormat="1" applyFont="1" applyFill="1" applyBorder="1" applyAlignment="1">
      <alignment vertical="center"/>
    </xf>
    <xf numFmtId="165" fontId="7" fillId="0" borderId="14" xfId="1" applyNumberFormat="1" applyFont="1" applyBorder="1" applyAlignment="1">
      <alignment vertical="center" wrapText="1"/>
    </xf>
    <xf numFmtId="164" fontId="7" fillId="0" borderId="14" xfId="1" applyNumberFormat="1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49" fontId="3" fillId="2" borderId="1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3" fillId="3" borderId="2" xfId="1" applyNumberFormat="1" applyFont="1" applyFill="1" applyBorder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vertical="center"/>
    </xf>
    <xf numFmtId="0" fontId="3" fillId="4" borderId="1" xfId="1" applyFont="1" applyFill="1" applyBorder="1" applyAlignment="1">
      <alignment vertical="center" wrapText="1"/>
    </xf>
  </cellXfs>
  <cellStyles count="46">
    <cellStyle name="20% - Accent1 2" xfId="21" xr:uid="{019CDFA9-587C-4A58-99C4-3871C34B4543}"/>
    <cellStyle name="20% - Accent2 2" xfId="25" xr:uid="{E105D92B-2EAD-49D1-ADA5-F4333ADE2249}"/>
    <cellStyle name="20% - Accent3 2" xfId="29" xr:uid="{1843A930-380B-4764-A14D-4A0876412DEC}"/>
    <cellStyle name="20% - Accent4 2" xfId="33" xr:uid="{4A5DED77-0521-444D-9139-DB2C308C6E61}"/>
    <cellStyle name="20% - Accent5 2" xfId="37" xr:uid="{720D76B4-0D10-496B-B5EB-44F2FD903B9F}"/>
    <cellStyle name="20% - Accent6 2" xfId="41" xr:uid="{0C0B7A31-150B-43C1-ABEB-B274FCF82648}"/>
    <cellStyle name="40% - Accent1 2" xfId="22" xr:uid="{023CE577-6B6C-45C0-BF68-A3C77932A54A}"/>
    <cellStyle name="40% - Accent2 2" xfId="26" xr:uid="{0587ADE2-2A00-41F6-840D-A9585804C965}"/>
    <cellStyle name="40% - Accent3 2" xfId="30" xr:uid="{539A443B-CB6B-4D0B-AEFA-2E5BD0DCD9BA}"/>
    <cellStyle name="40% - Accent4 2" xfId="34" xr:uid="{4FAA8F4B-1162-434F-AE27-74EB40BCB3B8}"/>
    <cellStyle name="40% - Accent5 2" xfId="38" xr:uid="{89299752-46B4-4FD0-8F74-2BE7A9CA4AF8}"/>
    <cellStyle name="40% - Accent6 2" xfId="42" xr:uid="{DBB2A8AB-8FE1-47E3-8E06-CA2A0467DAEA}"/>
    <cellStyle name="60% - Accent1 2" xfId="23" xr:uid="{69E80BEC-6946-4B8D-BE0D-006602D0F089}"/>
    <cellStyle name="60% - Accent2 2" xfId="27" xr:uid="{2A8746E5-794A-40E8-9A29-8231DDE4E3D5}"/>
    <cellStyle name="60% - Accent3 2" xfId="31" xr:uid="{745D6444-603F-47F4-97B1-07097DA7F3A7}"/>
    <cellStyle name="60% - Accent4 2" xfId="35" xr:uid="{954E6AF9-3D6F-4A64-BB58-4E04660DD84A}"/>
    <cellStyle name="60% - Accent5 2" xfId="39" xr:uid="{3431841A-FA85-49C4-AFC2-226B41648AD9}"/>
    <cellStyle name="60% - Accent6 2" xfId="43" xr:uid="{F0AFF623-F51B-4702-9AAB-6F8D15B63CCB}"/>
    <cellStyle name="Accent1 2" xfId="20" xr:uid="{DBC08677-917B-4D9D-B7E8-CBE87325B58E}"/>
    <cellStyle name="Accent2 2" xfId="24" xr:uid="{69D2284A-ADD6-48B4-9545-E509A11E8738}"/>
    <cellStyle name="Accent3 2" xfId="28" xr:uid="{8C6BA4BD-19CB-44C0-8CAA-24DE0C9E746C}"/>
    <cellStyle name="Accent4 2" xfId="32" xr:uid="{AA81C407-4541-49B4-8A59-B0AC8B1C2BA7}"/>
    <cellStyle name="Accent5 2" xfId="36" xr:uid="{057A30BB-026E-4A9C-9064-109E27527C59}"/>
    <cellStyle name="Accent6 2" xfId="40" xr:uid="{9B453FF3-543D-429D-BFCB-68E2B66C1A7E}"/>
    <cellStyle name="Bad 2" xfId="10" xr:uid="{508073CB-4FED-4F30-99C6-E9821939B17D}"/>
    <cellStyle name="Calculation 2" xfId="14" xr:uid="{4CED2556-635A-4615-8D56-B10F2967B7D2}"/>
    <cellStyle name="Check Cell 2" xfId="16" xr:uid="{487F70A1-2DFD-40DE-AF7F-0662E71C0EA9}"/>
    <cellStyle name="Detalii_String__SimplaLeft_SimplaRight_GroasaUp_SimplaBottom" xfId="44" xr:uid="{78232FBC-B88B-44AF-B513-70D9629455AA}"/>
    <cellStyle name="Explanatory Text 2" xfId="18" xr:uid="{4A1FD5C2-7821-4D1C-8DCC-C666797A1B87}"/>
    <cellStyle name="Good 2" xfId="9" xr:uid="{2181F906-A45F-4E0F-9F73-86AC116FE49C}"/>
    <cellStyle name="Heading 1 2" xfId="5" xr:uid="{C2BE0D0D-C874-420E-A6E3-CE2A80EBF700}"/>
    <cellStyle name="Heading 2 2" xfId="6" xr:uid="{220F36D6-2CCD-4E69-BA02-FB0786DE770C}"/>
    <cellStyle name="Heading 3 2" xfId="7" xr:uid="{759E900A-2D80-4A84-AFA4-5FEEBCB5BC38}"/>
    <cellStyle name="Heading 4 2" xfId="8" xr:uid="{A24E34AB-0B62-4777-B111-E218B27CCDDC}"/>
    <cellStyle name="Input 2" xfId="12" xr:uid="{CAAE910F-E68D-4BE6-A44A-CA880EEC07A3}"/>
    <cellStyle name="Linked Cell 2" xfId="15" xr:uid="{BEF4663F-ABF8-4469-BEC7-7040B1C185AF}"/>
    <cellStyle name="Neutral 2" xfId="11" xr:uid="{AEC44B70-167A-47E1-A51B-D00485E37737}"/>
    <cellStyle name="Normal" xfId="0" builtinId="0"/>
    <cellStyle name="Normal 2" xfId="1" xr:uid="{7FFBEAD8-DDA6-48F0-91E1-43FD8CCF0C75}"/>
    <cellStyle name="Normal 3" xfId="3" xr:uid="{A7F15D8E-B59D-409E-ACA0-083751C612B5}"/>
    <cellStyle name="Note" xfId="2" builtinId="10" customBuiltin="1"/>
    <cellStyle name="Output 2" xfId="13" xr:uid="{B4B06209-FB62-4F15-9238-740805D051F0}"/>
    <cellStyle name="stil_16" xfId="45" xr:uid="{570444AE-80BE-4E82-B814-95D7D740EB9C}"/>
    <cellStyle name="Title 2" xfId="4" xr:uid="{7E75A0A2-CF29-4A6F-9850-9430A7E4B289}"/>
    <cellStyle name="Total 2" xfId="19" xr:uid="{9CC50699-DC3A-4531-9053-85252504D3B6}"/>
    <cellStyle name="Warning Text 2" xfId="17" xr:uid="{47B51FDE-1919-4208-9186-66E53FAC87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VYQ01!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4.00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5.00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6.00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7.00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8.00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9.00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nixon/Keysign/CVC's/CVC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60N401_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Valuation%2028%20January%202002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s\corporate_data\windows\TEMP\Valuation%2028%20January%202002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1.00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10.00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2.00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3.0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data sheet"/>
      <sheetName val="Module1"/>
      <sheetName val="Ammendment Log"/>
      <sheetName val="ASFuncs"/>
      <sheetName val="Module2 (function)"/>
      <sheetName val="cashflow macro functions"/>
    </sheetNames>
    <sheetDataSet>
      <sheetData sheetId="0">
        <row r="3">
          <cell r="C3" t="str">
            <v>AYH Partnership</v>
          </cell>
        </row>
        <row r="4">
          <cell r="C4" t="str">
            <v>40 Clifton Street</v>
          </cell>
        </row>
        <row r="5">
          <cell r="C5" t="str">
            <v>London EC2A 4AY</v>
          </cell>
        </row>
        <row r="9">
          <cell r="C9" t="str">
            <v>5433Q</v>
          </cell>
        </row>
        <row r="14">
          <cell r="C14">
            <v>35495</v>
          </cell>
        </row>
        <row r="22">
          <cell r="C22">
            <v>12</v>
          </cell>
        </row>
        <row r="23">
          <cell r="C23">
            <v>0.03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ct"/>
      <sheetName val="Recon"/>
      <sheetName val="CVC"/>
      <sheetName val="Prod Oh'ds"/>
      <sheetName val="Prelims"/>
      <sheetName val="Prelims Spread"/>
      <sheetName val="Nom.Suppliers"/>
      <sheetName val="Nom.Suppliers Liab"/>
      <sheetName val="Dir.Suppliers"/>
      <sheetName val="Dir.Suppliers Liab"/>
      <sheetName val="Lab-Only SubTrad"/>
      <sheetName val="Lab-Only SubTrad Liab"/>
      <sheetName val="Direct SubCon"/>
      <sheetName val="Direcct SubCon Liab"/>
      <sheetName val="Nom SubCon"/>
      <sheetName val="Nom SubCon Liab"/>
      <sheetName val="Lab&amp;Mats SubTrad"/>
      <sheetName val="Lab&amp;Mats SubTrad Liab"/>
      <sheetName val="Module"/>
    </sheetNames>
    <sheetDataSet>
      <sheetData sheetId="0"/>
      <sheetData sheetId="1"/>
      <sheetData sheetId="2">
        <row r="27">
          <cell r="F27">
            <v>7039.414764000001</v>
          </cell>
        </row>
        <row r="33">
          <cell r="G33">
            <v>63994.656909116195</v>
          </cell>
        </row>
      </sheetData>
      <sheetData sheetId="3"/>
      <sheetData sheetId="4">
        <row r="52">
          <cell r="E52">
            <v>4196.0000000000027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Overall Cashflow"/>
      <sheetName val="Macro custom function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relims"/>
      <sheetName val="Pckge Sum"/>
      <sheetName val="1"/>
      <sheetName val="1daywork"/>
      <sheetName val="2"/>
      <sheetName val="2a"/>
      <sheetName val="3"/>
      <sheetName val="4"/>
      <sheetName val="4a"/>
      <sheetName val="4b"/>
      <sheetName val="4c"/>
      <sheetName val="5"/>
      <sheetName val="6"/>
      <sheetName val="7"/>
      <sheetName val="8"/>
      <sheetName val="8daywork"/>
      <sheetName val="9"/>
      <sheetName val="10"/>
      <sheetName val="11"/>
      <sheetName val="11Daywork"/>
      <sheetName val="11a"/>
      <sheetName val="13"/>
      <sheetName val="13 Build Up"/>
      <sheetName val="13daywork"/>
      <sheetName val="13a"/>
      <sheetName val="13b"/>
      <sheetName val="13c"/>
      <sheetName val="14"/>
      <sheetName val="15"/>
      <sheetName val="15daywork"/>
      <sheetName val="16"/>
      <sheetName val="17"/>
      <sheetName val="18"/>
      <sheetName val="18daywork"/>
      <sheetName val="19"/>
      <sheetName val="19A"/>
      <sheetName val="20"/>
      <sheetName val="20A"/>
      <sheetName val="22"/>
      <sheetName val="22daywork"/>
      <sheetName val="23"/>
      <sheetName val="23 Detail"/>
      <sheetName val="23daywork"/>
      <sheetName val="23A"/>
      <sheetName val="24"/>
      <sheetName val="25"/>
      <sheetName val="28"/>
      <sheetName val="28A"/>
      <sheetName val="29"/>
      <sheetName val="29A"/>
      <sheetName val="30"/>
      <sheetName val="31"/>
      <sheetName val="33"/>
      <sheetName val="35"/>
      <sheetName val="Labour allocation"/>
      <sheetName val="36"/>
      <sheetName val="37"/>
      <sheetName val="38"/>
      <sheetName val="39"/>
      <sheetName val="40"/>
      <sheetName val="40A"/>
      <sheetName val="97"/>
      <sheetName val="98"/>
      <sheetName val="99"/>
      <sheetName val="99A"/>
      <sheetName val="100A"/>
      <sheetName val="100B"/>
      <sheetName val="100C"/>
      <sheetName val="100D"/>
      <sheetName val="100E"/>
      <sheetName val="100F"/>
      <sheetName val="100R"/>
      <sheetName val="100S"/>
      <sheetName val="100T"/>
      <sheetName val="100U"/>
      <sheetName val="MOS"/>
      <sheetName val="AI's"/>
      <sheetName val="CO's"/>
      <sheetName val="CVI's"/>
      <sheetName val="RM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relims"/>
      <sheetName val="Pckge Sum"/>
      <sheetName val="1"/>
      <sheetName val="1daywork"/>
      <sheetName val="2"/>
      <sheetName val="2a"/>
      <sheetName val="3"/>
      <sheetName val="4"/>
      <sheetName val="4a"/>
      <sheetName val="4b"/>
      <sheetName val="4c"/>
      <sheetName val="5"/>
      <sheetName val="6"/>
      <sheetName val="7"/>
      <sheetName val="8"/>
      <sheetName val="8daywork"/>
      <sheetName val="9"/>
      <sheetName val="10"/>
      <sheetName val="11"/>
      <sheetName val="11Daywork"/>
      <sheetName val="11a"/>
      <sheetName val="13"/>
      <sheetName val="13 Build Up"/>
      <sheetName val="13daywork"/>
      <sheetName val="13a"/>
      <sheetName val="13b"/>
      <sheetName val="13c"/>
      <sheetName val="14"/>
      <sheetName val="15"/>
      <sheetName val="15daywork"/>
      <sheetName val="16"/>
      <sheetName val="17"/>
      <sheetName val="18"/>
      <sheetName val="18daywork"/>
      <sheetName val="19"/>
      <sheetName val="19A"/>
      <sheetName val="20"/>
      <sheetName val="20A"/>
      <sheetName val="22"/>
      <sheetName val="22daywork"/>
      <sheetName val="23"/>
      <sheetName val="23 Detail"/>
      <sheetName val="23daywork"/>
      <sheetName val="23A"/>
      <sheetName val="24"/>
      <sheetName val="25"/>
      <sheetName val="28"/>
      <sheetName val="28A"/>
      <sheetName val="29"/>
      <sheetName val="29A"/>
      <sheetName val="30"/>
      <sheetName val="31"/>
      <sheetName val="33"/>
      <sheetName val="35"/>
      <sheetName val="Labour allocation"/>
      <sheetName val="36"/>
      <sheetName val="37"/>
      <sheetName val="38"/>
      <sheetName val="39"/>
      <sheetName val="40"/>
      <sheetName val="40A"/>
      <sheetName val="97"/>
      <sheetName val="98"/>
      <sheetName val="99"/>
      <sheetName val="99A"/>
      <sheetName val="100A"/>
      <sheetName val="100B"/>
      <sheetName val="100C"/>
      <sheetName val="100D"/>
      <sheetName val="100E"/>
      <sheetName val="100F"/>
      <sheetName val="100R"/>
      <sheetName val="100S"/>
      <sheetName val="100T"/>
      <sheetName val="100U"/>
      <sheetName val="MOS"/>
      <sheetName val="AI's"/>
      <sheetName val="CO's"/>
      <sheetName val="CVI's"/>
      <sheetName val="RM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44"/>
  <sheetViews>
    <sheetView tabSelected="1" zoomScale="50" zoomScaleNormal="50" workbookViewId="0">
      <pane ySplit="9" topLeftCell="A10" activePane="bottomLeft" state="frozen"/>
      <selection pane="bottomLeft" activeCell="N13" sqref="N13"/>
    </sheetView>
  </sheetViews>
  <sheetFormatPr defaultRowHeight="15" x14ac:dyDescent="0.25"/>
  <cols>
    <col min="1" max="1" width="13.7109375" style="4" customWidth="1"/>
    <col min="2" max="2" width="51.7109375" style="4" customWidth="1"/>
    <col min="3" max="3" width="33.42578125" style="4" hidden="1" customWidth="1"/>
    <col min="4" max="4" width="32.5703125" style="4" hidden="1" customWidth="1"/>
    <col min="5" max="5" width="28" style="4" hidden="1" customWidth="1"/>
    <col min="6" max="9" width="30" style="4" hidden="1" customWidth="1"/>
    <col min="10" max="11" width="33.7109375" style="4" hidden="1" customWidth="1"/>
    <col min="12" max="13" width="34.5703125" style="4" customWidth="1"/>
    <col min="14" max="14" width="26.28515625" style="4" customWidth="1"/>
    <col min="15" max="15" width="42.85546875" style="4" customWidth="1"/>
    <col min="16" max="16" width="33.140625" style="4" customWidth="1"/>
    <col min="17" max="18" width="9.140625" style="4"/>
    <col min="19" max="19" width="27.85546875" style="4" customWidth="1"/>
    <col min="20" max="20" width="9.140625" style="4"/>
    <col min="21" max="21" width="22.85546875" style="4" customWidth="1"/>
    <col min="22" max="16384" width="9.140625" style="4"/>
  </cols>
  <sheetData>
    <row r="1" spans="1:16" ht="27.75" x14ac:dyDescent="0.25">
      <c r="A1" s="71" t="s">
        <v>50</v>
      </c>
      <c r="B1" s="71"/>
      <c r="C1" s="41"/>
      <c r="D1" s="42"/>
      <c r="E1" s="43"/>
      <c r="F1" s="43"/>
      <c r="G1" s="43"/>
      <c r="H1" s="43"/>
      <c r="I1" s="43"/>
      <c r="J1" s="43"/>
      <c r="K1" s="43"/>
      <c r="L1" s="43"/>
      <c r="M1" s="43"/>
      <c r="N1" s="43"/>
      <c r="O1" s="71" t="s">
        <v>188</v>
      </c>
      <c r="P1" s="71"/>
    </row>
    <row r="2" spans="1:16" ht="27.75" x14ac:dyDescent="0.25">
      <c r="A2" s="69"/>
      <c r="B2" s="41"/>
      <c r="C2" s="41"/>
      <c r="D2" s="42"/>
      <c r="E2" s="43"/>
      <c r="F2" s="43"/>
      <c r="G2" s="43"/>
      <c r="H2" s="43"/>
      <c r="I2" s="43"/>
      <c r="J2" s="43"/>
      <c r="K2" s="43"/>
      <c r="L2" s="43"/>
      <c r="M2" s="43"/>
      <c r="N2" s="43"/>
      <c r="O2" s="28"/>
      <c r="P2" s="28"/>
    </row>
    <row r="3" spans="1:16" ht="28.5" customHeight="1" x14ac:dyDescent="0.25">
      <c r="A3" s="69"/>
      <c r="B3" s="81"/>
      <c r="C3" s="81"/>
      <c r="D3" s="81"/>
      <c r="E3" s="81"/>
      <c r="F3" s="81"/>
      <c r="G3" s="81"/>
      <c r="H3" s="81"/>
      <c r="I3" s="81"/>
      <c r="J3" s="81"/>
      <c r="K3" s="44"/>
      <c r="L3" s="81" t="s">
        <v>187</v>
      </c>
      <c r="M3" s="81"/>
      <c r="N3" s="81"/>
      <c r="O3" s="81"/>
      <c r="P3" s="28"/>
    </row>
    <row r="4" spans="1:16" ht="28.5" customHeight="1" x14ac:dyDescent="0.25">
      <c r="A4" s="69"/>
      <c r="B4" s="28"/>
      <c r="C4" s="45"/>
      <c r="D4" s="77" t="s">
        <v>180</v>
      </c>
      <c r="E4" s="77"/>
      <c r="F4" s="77"/>
      <c r="G4" s="77"/>
      <c r="H4" s="46"/>
      <c r="I4" s="46"/>
      <c r="J4" s="43"/>
      <c r="K4" s="43"/>
      <c r="L4" s="81"/>
      <c r="M4" s="81"/>
      <c r="N4" s="81"/>
      <c r="O4" s="81"/>
      <c r="P4" s="28"/>
    </row>
    <row r="5" spans="1:16" ht="58.5" customHeight="1" x14ac:dyDescent="0.25">
      <c r="A5" s="70"/>
      <c r="B5" s="81"/>
      <c r="C5" s="81"/>
      <c r="D5" s="81"/>
      <c r="E5" s="81"/>
      <c r="F5" s="81"/>
      <c r="G5" s="81"/>
      <c r="H5" s="81"/>
      <c r="I5" s="81"/>
      <c r="J5" s="81"/>
      <c r="K5" s="44"/>
      <c r="L5" s="81"/>
      <c r="M5" s="81"/>
      <c r="N5" s="81"/>
      <c r="O5" s="81"/>
      <c r="P5" s="28"/>
    </row>
    <row r="6" spans="1:16" ht="27.75" x14ac:dyDescent="0.25">
      <c r="A6" s="68"/>
      <c r="B6" s="65"/>
      <c r="C6" s="65"/>
      <c r="D6" s="66"/>
      <c r="E6" s="67"/>
      <c r="F6" s="67"/>
      <c r="G6" s="67"/>
      <c r="H6" s="67"/>
      <c r="I6" s="67"/>
      <c r="J6" s="67"/>
      <c r="K6" s="67"/>
      <c r="L6" s="67"/>
      <c r="M6" s="67">
        <v>4.9400000000000004</v>
      </c>
      <c r="N6" s="67" t="s">
        <v>185</v>
      </c>
      <c r="O6" s="28"/>
      <c r="P6" s="28"/>
    </row>
    <row r="7" spans="1:16" ht="186.75" customHeight="1" x14ac:dyDescent="0.25">
      <c r="A7" s="83" t="s">
        <v>0</v>
      </c>
      <c r="B7" s="83" t="s">
        <v>1</v>
      </c>
      <c r="C7" s="39" t="s">
        <v>120</v>
      </c>
      <c r="D7" s="49" t="s">
        <v>121</v>
      </c>
      <c r="E7" s="29" t="s">
        <v>112</v>
      </c>
      <c r="F7" s="29" t="s">
        <v>113</v>
      </c>
      <c r="G7" s="29" t="s">
        <v>130</v>
      </c>
      <c r="H7" s="29" t="s">
        <v>131</v>
      </c>
      <c r="I7" s="29" t="s">
        <v>132</v>
      </c>
      <c r="J7" s="29" t="s">
        <v>114</v>
      </c>
      <c r="K7" s="29" t="s">
        <v>133</v>
      </c>
      <c r="L7" s="72" t="s">
        <v>186</v>
      </c>
      <c r="M7" s="72"/>
      <c r="N7" s="29" t="s">
        <v>181</v>
      </c>
      <c r="O7" s="72" t="s">
        <v>182</v>
      </c>
      <c r="P7" s="72"/>
    </row>
    <row r="8" spans="1:16" ht="36.75" customHeight="1" x14ac:dyDescent="0.25">
      <c r="A8" s="83"/>
      <c r="B8" s="83"/>
      <c r="C8" s="39" t="s">
        <v>49</v>
      </c>
      <c r="D8" s="50" t="s">
        <v>49</v>
      </c>
      <c r="E8" s="30" t="s">
        <v>49</v>
      </c>
      <c r="F8" s="30" t="s">
        <v>49</v>
      </c>
      <c r="G8" s="30" t="s">
        <v>49</v>
      </c>
      <c r="H8" s="30" t="s">
        <v>49</v>
      </c>
      <c r="I8" s="30" t="s">
        <v>49</v>
      </c>
      <c r="J8" s="30" t="s">
        <v>49</v>
      </c>
      <c r="K8" s="30" t="s">
        <v>49</v>
      </c>
      <c r="L8" s="30" t="s">
        <v>49</v>
      </c>
      <c r="M8" s="30" t="s">
        <v>183</v>
      </c>
      <c r="N8" s="30" t="s">
        <v>184</v>
      </c>
      <c r="O8" s="30" t="s">
        <v>49</v>
      </c>
      <c r="P8" s="30" t="s">
        <v>183</v>
      </c>
    </row>
    <row r="9" spans="1:16" ht="33" x14ac:dyDescent="0.25">
      <c r="A9" s="31">
        <v>1</v>
      </c>
      <c r="B9" s="39">
        <v>2</v>
      </c>
      <c r="C9" s="31">
        <v>3</v>
      </c>
      <c r="D9" s="39">
        <v>4</v>
      </c>
      <c r="E9" s="39">
        <v>5</v>
      </c>
      <c r="F9" s="31" t="s">
        <v>128</v>
      </c>
      <c r="G9" s="31">
        <v>7</v>
      </c>
      <c r="H9" s="31">
        <v>8</v>
      </c>
      <c r="I9" s="31" t="s">
        <v>129</v>
      </c>
      <c r="J9" s="31">
        <v>10</v>
      </c>
      <c r="K9" s="31" t="s">
        <v>134</v>
      </c>
      <c r="L9" s="31">
        <v>3</v>
      </c>
      <c r="M9" s="31">
        <v>4</v>
      </c>
      <c r="N9" s="31">
        <v>5</v>
      </c>
      <c r="O9" s="31">
        <v>6</v>
      </c>
      <c r="P9" s="31">
        <v>7</v>
      </c>
    </row>
    <row r="10" spans="1:16" ht="27.75" customHeight="1" x14ac:dyDescent="0.25">
      <c r="A10" s="73" t="s">
        <v>56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</row>
    <row r="11" spans="1:16" ht="27.75" customHeight="1" x14ac:dyDescent="0.25">
      <c r="A11" s="73" t="s">
        <v>55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</row>
    <row r="12" spans="1:16" ht="27.75" x14ac:dyDescent="0.25">
      <c r="A12" s="34" t="s">
        <v>2</v>
      </c>
      <c r="B12" s="1" t="s">
        <v>3</v>
      </c>
      <c r="C12" s="8">
        <v>0</v>
      </c>
      <c r="D12" s="15">
        <v>0</v>
      </c>
      <c r="E12" s="19">
        <v>0</v>
      </c>
      <c r="F12" s="20">
        <f>D12-E12</f>
        <v>0</v>
      </c>
      <c r="G12" s="20">
        <v>0</v>
      </c>
      <c r="H12" s="20">
        <v>0</v>
      </c>
      <c r="I12" s="20">
        <f>E12+F12-G12+H12</f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</row>
    <row r="13" spans="1:16" ht="27.75" x14ac:dyDescent="0.25">
      <c r="A13" s="34" t="s">
        <v>4</v>
      </c>
      <c r="B13" s="1" t="s">
        <v>5</v>
      </c>
      <c r="C13" s="8">
        <v>221565.75</v>
      </c>
      <c r="D13" s="15">
        <f>D14+D15</f>
        <v>230990.47</v>
      </c>
      <c r="E13" s="15">
        <f>E14+E15</f>
        <v>60610.34</v>
      </c>
      <c r="F13" s="20">
        <f>D13-E13</f>
        <v>170380.13</v>
      </c>
      <c r="G13" s="20">
        <f>G14+G15</f>
        <v>54132.170000000006</v>
      </c>
      <c r="H13" s="20">
        <v>71137.16</v>
      </c>
      <c r="I13" s="20">
        <f t="shared" ref="I13:I17" si="0">E13+F13-G13+H13</f>
        <v>247995.46</v>
      </c>
      <c r="J13" s="20">
        <f>J14+J15</f>
        <v>71214.92</v>
      </c>
      <c r="K13" s="20">
        <f>K14+K15</f>
        <v>16450.646520000002</v>
      </c>
      <c r="L13" s="20">
        <f>I13+K13</f>
        <v>264446.10651999997</v>
      </c>
      <c r="M13" s="20">
        <f>L13/M6</f>
        <v>53531.600510121447</v>
      </c>
      <c r="N13" s="20">
        <f>L13*19%</f>
        <v>50244.760238799994</v>
      </c>
      <c r="O13" s="20">
        <f>L13+N13</f>
        <v>314690.8667588</v>
      </c>
      <c r="P13" s="20">
        <f>O13/M6</f>
        <v>63702.60460704453</v>
      </c>
    </row>
    <row r="14" spans="1:16" ht="27.75" hidden="1" customHeight="1" x14ac:dyDescent="0.25">
      <c r="A14" s="34"/>
      <c r="B14" s="1" t="s">
        <v>135</v>
      </c>
      <c r="C14" s="8">
        <v>211494.09</v>
      </c>
      <c r="D14" s="15">
        <v>211494.09</v>
      </c>
      <c r="E14" s="19">
        <v>60610.34</v>
      </c>
      <c r="F14" s="20">
        <f t="shared" ref="F14:F15" si="1">D14-E14</f>
        <v>150883.75</v>
      </c>
      <c r="G14" s="20">
        <v>46469.91</v>
      </c>
      <c r="H14" s="20">
        <v>71137.16</v>
      </c>
      <c r="I14" s="20">
        <f t="shared" si="0"/>
        <v>236161.34</v>
      </c>
      <c r="J14" s="20">
        <v>65112</v>
      </c>
      <c r="K14" s="20">
        <f>J14*1.231-J14</f>
        <v>15040.872000000003</v>
      </c>
      <c r="L14" s="20">
        <f t="shared" ref="L14:L15" si="2">I14+K14</f>
        <v>251202.212</v>
      </c>
      <c r="M14" s="20" t="e">
        <f t="shared" ref="M14:M16" si="3">L14/M7</f>
        <v>#DIV/0!</v>
      </c>
      <c r="N14" s="20">
        <f t="shared" ref="N14:N17" si="4">L14*19%</f>
        <v>47728.420279999998</v>
      </c>
      <c r="O14" s="20">
        <f t="shared" ref="O14:O17" si="5">L14+N14</f>
        <v>298930.63228000002</v>
      </c>
      <c r="P14" s="20" t="e">
        <f t="shared" ref="P14:P16" si="6">O14/M7</f>
        <v>#DIV/0!</v>
      </c>
    </row>
    <row r="15" spans="1:16" ht="55.5" hidden="1" customHeight="1" x14ac:dyDescent="0.25">
      <c r="A15" s="34"/>
      <c r="B15" s="1" t="s">
        <v>136</v>
      </c>
      <c r="C15" s="8">
        <v>19496.38</v>
      </c>
      <c r="D15" s="15">
        <v>19496.38</v>
      </c>
      <c r="E15" s="19">
        <v>0</v>
      </c>
      <c r="F15" s="20">
        <f t="shared" si="1"/>
        <v>19496.38</v>
      </c>
      <c r="G15" s="20">
        <v>7662.26</v>
      </c>
      <c r="H15" s="20">
        <v>0</v>
      </c>
      <c r="I15" s="20">
        <f t="shared" si="0"/>
        <v>11834.12</v>
      </c>
      <c r="J15" s="20">
        <v>6102.92</v>
      </c>
      <c r="K15" s="20">
        <f>J15*1.231-J15</f>
        <v>1409.7745200000008</v>
      </c>
      <c r="L15" s="20">
        <f t="shared" si="2"/>
        <v>13243.894520000002</v>
      </c>
      <c r="M15" s="20" t="e">
        <f t="shared" si="3"/>
        <v>#VALUE!</v>
      </c>
      <c r="N15" s="20">
        <f t="shared" si="4"/>
        <v>2516.3399588000002</v>
      </c>
      <c r="O15" s="20">
        <f t="shared" si="5"/>
        <v>15760.234478800001</v>
      </c>
      <c r="P15" s="20" t="e">
        <f t="shared" si="6"/>
        <v>#VALUE!</v>
      </c>
    </row>
    <row r="16" spans="1:16" ht="83.25" x14ac:dyDescent="0.25">
      <c r="A16" s="34" t="s">
        <v>6</v>
      </c>
      <c r="B16" s="1" t="s">
        <v>7</v>
      </c>
      <c r="C16" s="8">
        <v>0</v>
      </c>
      <c r="D16" s="15">
        <v>0</v>
      </c>
      <c r="E16" s="19">
        <v>0</v>
      </c>
      <c r="F16" s="20">
        <f>D16-E16</f>
        <v>0</v>
      </c>
      <c r="G16" s="20">
        <v>0</v>
      </c>
      <c r="H16" s="20">
        <v>0</v>
      </c>
      <c r="I16" s="20">
        <f t="shared" si="0"/>
        <v>0</v>
      </c>
      <c r="J16" s="20">
        <v>0</v>
      </c>
      <c r="K16" s="20">
        <v>0</v>
      </c>
      <c r="L16" s="20">
        <v>0</v>
      </c>
      <c r="M16" s="20">
        <f t="shared" si="3"/>
        <v>0</v>
      </c>
      <c r="N16" s="20">
        <f t="shared" si="4"/>
        <v>0</v>
      </c>
      <c r="O16" s="20">
        <f t="shared" si="5"/>
        <v>0</v>
      </c>
      <c r="P16" s="20">
        <f t="shared" si="6"/>
        <v>0</v>
      </c>
    </row>
    <row r="17" spans="1:21" ht="62.25" customHeight="1" x14ac:dyDescent="0.25">
      <c r="A17" s="34" t="s">
        <v>53</v>
      </c>
      <c r="B17" s="1" t="s">
        <v>54</v>
      </c>
      <c r="C17" s="8">
        <v>0</v>
      </c>
      <c r="D17" s="15">
        <v>0</v>
      </c>
      <c r="E17" s="19">
        <v>0</v>
      </c>
      <c r="F17" s="20">
        <f>D17-E17</f>
        <v>0</v>
      </c>
      <c r="G17" s="20">
        <v>0</v>
      </c>
      <c r="H17" s="20">
        <v>0</v>
      </c>
      <c r="I17" s="20">
        <f t="shared" si="0"/>
        <v>0</v>
      </c>
      <c r="J17" s="20">
        <v>0</v>
      </c>
      <c r="K17" s="20">
        <v>0</v>
      </c>
      <c r="L17" s="20">
        <v>0</v>
      </c>
      <c r="M17" s="20">
        <f>L17/M6</f>
        <v>0</v>
      </c>
      <c r="N17" s="20">
        <f t="shared" si="4"/>
        <v>0</v>
      </c>
      <c r="O17" s="20">
        <f t="shared" si="5"/>
        <v>0</v>
      </c>
      <c r="P17" s="20">
        <f>O17/M6</f>
        <v>0</v>
      </c>
    </row>
    <row r="18" spans="1:21" ht="32.25" customHeight="1" x14ac:dyDescent="0.25">
      <c r="A18" s="51" t="s">
        <v>8</v>
      </c>
      <c r="B18" s="51"/>
      <c r="C18" s="33">
        <f>C13+C16+C17+C12</f>
        <v>221565.75</v>
      </c>
      <c r="D18" s="33">
        <f t="shared" ref="D18:P18" si="7">D13+D16+D17+D12</f>
        <v>230990.47</v>
      </c>
      <c r="E18" s="33">
        <f t="shared" si="7"/>
        <v>60610.34</v>
      </c>
      <c r="F18" s="33">
        <f t="shared" si="7"/>
        <v>170380.13</v>
      </c>
      <c r="G18" s="33">
        <f t="shared" si="7"/>
        <v>54132.170000000006</v>
      </c>
      <c r="H18" s="33">
        <f t="shared" si="7"/>
        <v>71137.16</v>
      </c>
      <c r="I18" s="33">
        <f t="shared" si="7"/>
        <v>247995.46</v>
      </c>
      <c r="J18" s="33">
        <f t="shared" si="7"/>
        <v>71214.92</v>
      </c>
      <c r="K18" s="33">
        <f t="shared" si="7"/>
        <v>16450.646520000002</v>
      </c>
      <c r="L18" s="33">
        <f t="shared" si="7"/>
        <v>264446.10651999997</v>
      </c>
      <c r="M18" s="33">
        <f t="shared" si="7"/>
        <v>53531.600510121447</v>
      </c>
      <c r="N18" s="33">
        <f t="shared" si="7"/>
        <v>50244.760238799994</v>
      </c>
      <c r="O18" s="33">
        <f t="shared" si="7"/>
        <v>314690.8667588</v>
      </c>
      <c r="P18" s="33">
        <f t="shared" si="7"/>
        <v>63702.60460704453</v>
      </c>
    </row>
    <row r="19" spans="1:21" ht="36.75" customHeight="1" x14ac:dyDescent="0.25">
      <c r="A19" s="75" t="s">
        <v>9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</row>
    <row r="20" spans="1:21" ht="81.75" customHeight="1" x14ac:dyDescent="0.25">
      <c r="A20" s="32" t="s">
        <v>51</v>
      </c>
      <c r="B20" s="13" t="s">
        <v>98</v>
      </c>
      <c r="C20" s="14">
        <v>30225</v>
      </c>
      <c r="D20" s="17">
        <f>D21+D22+D23+D24</f>
        <v>33129.82</v>
      </c>
      <c r="E20" s="17">
        <f>E21+E22+E23+E24</f>
        <v>0</v>
      </c>
      <c r="F20" s="17">
        <f>F21+F22+F23+F24</f>
        <v>33129.82</v>
      </c>
      <c r="G20" s="17">
        <f t="shared" ref="G20:H20" si="8">G21+G22+G23+G24</f>
        <v>0</v>
      </c>
      <c r="H20" s="17">
        <f t="shared" si="8"/>
        <v>0</v>
      </c>
      <c r="I20" s="17">
        <f>E20+F20-G20+H20</f>
        <v>33129.82</v>
      </c>
      <c r="J20" s="17">
        <f>J21+J22+J23+J24</f>
        <v>19971.560000000001</v>
      </c>
      <c r="K20" s="17">
        <f>J20*1.231-J20</f>
        <v>4613.4303600000021</v>
      </c>
      <c r="L20" s="17">
        <f>I20+K20</f>
        <v>37743.250360000005</v>
      </c>
      <c r="M20" s="17">
        <f>L20/M6</f>
        <v>7640.3340809716601</v>
      </c>
      <c r="N20" s="17">
        <f>L20*19%</f>
        <v>7171.2175684000013</v>
      </c>
      <c r="O20" s="17">
        <f>L20+N20</f>
        <v>44914.467928400009</v>
      </c>
      <c r="P20" s="17">
        <f>O20/M6</f>
        <v>9091.9975563562766</v>
      </c>
      <c r="S20" s="9"/>
    </row>
    <row r="21" spans="1:21" ht="81.75" hidden="1" customHeight="1" x14ac:dyDescent="0.25">
      <c r="A21" s="32"/>
      <c r="B21" s="13" t="s">
        <v>137</v>
      </c>
      <c r="C21" s="14"/>
      <c r="D21" s="17">
        <v>9749.3799999999992</v>
      </c>
      <c r="E21" s="19">
        <v>0</v>
      </c>
      <c r="F21" s="19">
        <f t="shared" ref="F21:F24" si="9">D21-E21</f>
        <v>9749.3799999999992</v>
      </c>
      <c r="G21" s="19">
        <v>0</v>
      </c>
      <c r="H21" s="19">
        <v>0</v>
      </c>
      <c r="I21" s="19">
        <f t="shared" ref="I21:I24" si="10">E21+F21-G21+H21</f>
        <v>9749.3799999999992</v>
      </c>
      <c r="J21" s="19">
        <v>3321.55</v>
      </c>
      <c r="K21" s="17">
        <f t="shared" ref="K21:K24" si="11">J21*1.231-J21</f>
        <v>767.27805000000035</v>
      </c>
      <c r="L21" s="17">
        <f t="shared" ref="L21:L24" si="12">I21+K21</f>
        <v>10516.65805</v>
      </c>
      <c r="M21" s="25" t="e">
        <f t="shared" ref="M21:M24" si="13">L21*M15</f>
        <v>#VALUE!</v>
      </c>
      <c r="N21" s="25"/>
      <c r="O21" s="26"/>
      <c r="P21" s="26"/>
      <c r="S21" s="9"/>
    </row>
    <row r="22" spans="1:21" ht="81.75" hidden="1" customHeight="1" x14ac:dyDescent="0.25">
      <c r="A22" s="32"/>
      <c r="B22" s="13" t="s">
        <v>138</v>
      </c>
      <c r="C22" s="14"/>
      <c r="D22" s="17">
        <v>733.82</v>
      </c>
      <c r="E22" s="19">
        <v>0</v>
      </c>
      <c r="F22" s="19">
        <f t="shared" si="9"/>
        <v>733.82</v>
      </c>
      <c r="G22" s="19">
        <v>0</v>
      </c>
      <c r="H22" s="19">
        <v>0</v>
      </c>
      <c r="I22" s="19">
        <f t="shared" si="10"/>
        <v>733.82</v>
      </c>
      <c r="J22" s="19">
        <v>250.01</v>
      </c>
      <c r="K22" s="17">
        <f t="shared" si="11"/>
        <v>57.752310000000023</v>
      </c>
      <c r="L22" s="17">
        <f t="shared" si="12"/>
        <v>791.57231000000002</v>
      </c>
      <c r="M22" s="25">
        <f t="shared" si="13"/>
        <v>0</v>
      </c>
      <c r="N22" s="25"/>
      <c r="O22" s="26"/>
      <c r="P22" s="26"/>
      <c r="S22" s="9"/>
    </row>
    <row r="23" spans="1:21" ht="81.75" hidden="1" customHeight="1" x14ac:dyDescent="0.25">
      <c r="A23" s="32"/>
      <c r="B23" s="13" t="s">
        <v>139</v>
      </c>
      <c r="C23" s="14"/>
      <c r="D23" s="17">
        <v>21061.360000000001</v>
      </c>
      <c r="E23" s="19">
        <v>0</v>
      </c>
      <c r="F23" s="19">
        <f t="shared" si="9"/>
        <v>21061.360000000001</v>
      </c>
      <c r="G23" s="19">
        <v>0</v>
      </c>
      <c r="H23" s="19">
        <v>0</v>
      </c>
      <c r="I23" s="19">
        <f t="shared" si="10"/>
        <v>21061.360000000001</v>
      </c>
      <c r="J23" s="19">
        <v>15252</v>
      </c>
      <c r="K23" s="17">
        <f t="shared" si="11"/>
        <v>3523.2120000000032</v>
      </c>
      <c r="L23" s="17">
        <f t="shared" si="12"/>
        <v>24584.572000000004</v>
      </c>
      <c r="M23" s="25">
        <f t="shared" si="13"/>
        <v>0</v>
      </c>
      <c r="N23" s="25"/>
      <c r="O23" s="26"/>
      <c r="P23" s="26"/>
      <c r="S23" s="9"/>
    </row>
    <row r="24" spans="1:21" ht="81.75" hidden="1" customHeight="1" thickBot="1" x14ac:dyDescent="0.3">
      <c r="A24" s="32"/>
      <c r="B24" s="13" t="s">
        <v>140</v>
      </c>
      <c r="C24" s="14"/>
      <c r="D24" s="17">
        <v>1585.26</v>
      </c>
      <c r="E24" s="19">
        <v>0</v>
      </c>
      <c r="F24" s="19">
        <f t="shared" si="9"/>
        <v>1585.26</v>
      </c>
      <c r="G24" s="19">
        <v>0</v>
      </c>
      <c r="H24" s="19">
        <v>0</v>
      </c>
      <c r="I24" s="19">
        <f t="shared" si="10"/>
        <v>1585.26</v>
      </c>
      <c r="J24" s="19">
        <v>1148</v>
      </c>
      <c r="K24" s="17">
        <f t="shared" si="11"/>
        <v>265.1880000000001</v>
      </c>
      <c r="L24" s="17">
        <f t="shared" si="12"/>
        <v>1850.4480000000001</v>
      </c>
      <c r="M24" s="25">
        <f t="shared" si="13"/>
        <v>99057443.100753218</v>
      </c>
      <c r="N24" s="25"/>
      <c r="O24" s="26"/>
      <c r="P24" s="26"/>
      <c r="S24" s="9"/>
    </row>
    <row r="25" spans="1:21" ht="27" x14ac:dyDescent="0.25">
      <c r="A25" s="76" t="s">
        <v>10</v>
      </c>
      <c r="B25" s="76"/>
      <c r="C25" s="33">
        <f>SUM(C20:C20)</f>
        <v>30225</v>
      </c>
      <c r="D25" s="33">
        <f>D20</f>
        <v>33129.82</v>
      </c>
      <c r="E25" s="33">
        <f t="shared" ref="E25:P25" si="14">SUM(E20:E20)</f>
        <v>0</v>
      </c>
      <c r="F25" s="33">
        <f t="shared" si="14"/>
        <v>33129.82</v>
      </c>
      <c r="G25" s="33">
        <f t="shared" si="14"/>
        <v>0</v>
      </c>
      <c r="H25" s="33">
        <f t="shared" si="14"/>
        <v>0</v>
      </c>
      <c r="I25" s="33">
        <f t="shared" si="14"/>
        <v>33129.82</v>
      </c>
      <c r="J25" s="33">
        <f t="shared" si="14"/>
        <v>19971.560000000001</v>
      </c>
      <c r="K25" s="33">
        <f t="shared" si="14"/>
        <v>4613.4303600000021</v>
      </c>
      <c r="L25" s="33">
        <f t="shared" si="14"/>
        <v>37743.250360000005</v>
      </c>
      <c r="M25" s="33">
        <f t="shared" si="14"/>
        <v>7640.3340809716601</v>
      </c>
      <c r="N25" s="33">
        <f t="shared" si="14"/>
        <v>7171.2175684000013</v>
      </c>
      <c r="O25" s="33">
        <f t="shared" si="14"/>
        <v>44914.467928400009</v>
      </c>
      <c r="P25" s="33">
        <f t="shared" si="14"/>
        <v>9091.9975563562766</v>
      </c>
      <c r="S25" s="10"/>
      <c r="U25" s="10"/>
    </row>
    <row r="26" spans="1:21" ht="27.75" customHeight="1" x14ac:dyDescent="0.25">
      <c r="A26" s="73" t="s">
        <v>58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</row>
    <row r="27" spans="1:21" ht="27.75" customHeight="1" x14ac:dyDescent="0.25">
      <c r="A27" s="73" t="s">
        <v>57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</row>
    <row r="28" spans="1:21" ht="37.5" customHeight="1" x14ac:dyDescent="0.25">
      <c r="A28" s="34" t="s">
        <v>11</v>
      </c>
      <c r="B28" s="35" t="s">
        <v>65</v>
      </c>
      <c r="C28" s="38">
        <f>C29+C30+C31</f>
        <v>10500</v>
      </c>
      <c r="D28" s="23">
        <v>11766.72</v>
      </c>
      <c r="E28" s="16">
        <f>D28</f>
        <v>11766.72</v>
      </c>
      <c r="F28" s="16">
        <f t="shared" ref="F28:F50" si="15">D28-E28</f>
        <v>0</v>
      </c>
      <c r="G28" s="16">
        <v>0</v>
      </c>
      <c r="H28" s="16">
        <v>0</v>
      </c>
      <c r="I28" s="16">
        <f>E28+F28-G28+H28</f>
        <v>11766.72</v>
      </c>
      <c r="J28" s="16">
        <v>0</v>
      </c>
      <c r="K28" s="16">
        <v>0</v>
      </c>
      <c r="L28" s="16">
        <f>L29+L30+L31</f>
        <v>11766.72</v>
      </c>
      <c r="M28" s="16">
        <f t="shared" ref="M28:P28" si="16">M29+M30+M31</f>
        <v>2381.927125506073</v>
      </c>
      <c r="N28" s="16">
        <f t="shared" si="16"/>
        <v>2235.6768000000002</v>
      </c>
      <c r="O28" s="16">
        <f t="shared" si="16"/>
        <v>14002.3968</v>
      </c>
      <c r="P28" s="16">
        <f t="shared" si="16"/>
        <v>2834.4932793522266</v>
      </c>
    </row>
    <row r="29" spans="1:21" ht="38.25" customHeight="1" x14ac:dyDescent="0.25">
      <c r="A29" s="34" t="s">
        <v>67</v>
      </c>
      <c r="B29" s="1" t="s">
        <v>66</v>
      </c>
      <c r="C29" s="8">
        <v>10500</v>
      </c>
      <c r="D29" s="15">
        <v>10500</v>
      </c>
      <c r="E29" s="20">
        <f>D29</f>
        <v>10500</v>
      </c>
      <c r="F29" s="20">
        <f t="shared" si="15"/>
        <v>0</v>
      </c>
      <c r="G29" s="20">
        <v>0</v>
      </c>
      <c r="H29" s="20">
        <v>0</v>
      </c>
      <c r="I29" s="20">
        <f t="shared" ref="I29:I50" si="17">E29+F29-G29+H29</f>
        <v>10500</v>
      </c>
      <c r="J29" s="20">
        <v>0</v>
      </c>
      <c r="K29" s="20">
        <v>0</v>
      </c>
      <c r="L29" s="20">
        <f t="shared" ref="L29:L50" si="18">I29</f>
        <v>10500</v>
      </c>
      <c r="M29" s="20">
        <f>L29/M6</f>
        <v>2125.5060728744938</v>
      </c>
      <c r="N29" s="20">
        <f>L29*19%</f>
        <v>1995</v>
      </c>
      <c r="O29" s="20">
        <f>L29+N29</f>
        <v>12495</v>
      </c>
      <c r="P29" s="20">
        <f>O29/M6</f>
        <v>2529.3522267206476</v>
      </c>
    </row>
    <row r="30" spans="1:21" ht="55.5" x14ac:dyDescent="0.25">
      <c r="A30" s="34" t="s">
        <v>68</v>
      </c>
      <c r="B30" s="1" t="s">
        <v>70</v>
      </c>
      <c r="C30" s="8">
        <v>0</v>
      </c>
      <c r="D30" s="15">
        <v>0</v>
      </c>
      <c r="E30" s="20">
        <v>0</v>
      </c>
      <c r="F30" s="20">
        <f t="shared" si="15"/>
        <v>0</v>
      </c>
      <c r="G30" s="20">
        <v>0</v>
      </c>
      <c r="H30" s="20">
        <v>0</v>
      </c>
      <c r="I30" s="20">
        <f t="shared" si="17"/>
        <v>0</v>
      </c>
      <c r="J30" s="20">
        <v>0</v>
      </c>
      <c r="K30" s="20">
        <v>0</v>
      </c>
      <c r="L30" s="20">
        <f t="shared" si="18"/>
        <v>0</v>
      </c>
      <c r="M30" s="20">
        <f>L30/M6</f>
        <v>0</v>
      </c>
      <c r="N30" s="20">
        <f t="shared" ref="N30:N31" si="19">L30*19%</f>
        <v>0</v>
      </c>
      <c r="O30" s="20">
        <f t="shared" ref="O30:O31" si="20">L30+N30</f>
        <v>0</v>
      </c>
      <c r="P30" s="20">
        <f>O30/M6</f>
        <v>0</v>
      </c>
    </row>
    <row r="31" spans="1:21" ht="27.75" x14ac:dyDescent="0.25">
      <c r="A31" s="34" t="s">
        <v>69</v>
      </c>
      <c r="B31" s="1" t="s">
        <v>122</v>
      </c>
      <c r="C31" s="8">
        <v>0</v>
      </c>
      <c r="D31" s="15">
        <v>1266.72</v>
      </c>
      <c r="E31" s="20">
        <f>D31</f>
        <v>1266.72</v>
      </c>
      <c r="F31" s="20">
        <f t="shared" si="15"/>
        <v>0</v>
      </c>
      <c r="G31" s="20">
        <v>0</v>
      </c>
      <c r="H31" s="20">
        <v>0</v>
      </c>
      <c r="I31" s="20">
        <f t="shared" si="17"/>
        <v>1266.72</v>
      </c>
      <c r="J31" s="20">
        <v>0</v>
      </c>
      <c r="K31" s="20">
        <v>0</v>
      </c>
      <c r="L31" s="20">
        <f t="shared" si="18"/>
        <v>1266.72</v>
      </c>
      <c r="M31" s="20">
        <f>L31/M6</f>
        <v>256.42105263157896</v>
      </c>
      <c r="N31" s="20">
        <f t="shared" si="19"/>
        <v>240.67680000000001</v>
      </c>
      <c r="O31" s="20">
        <f t="shared" si="20"/>
        <v>1507.3968</v>
      </c>
      <c r="P31" s="20">
        <f>O31/M6</f>
        <v>305.14105263157893</v>
      </c>
    </row>
    <row r="32" spans="1:21" ht="108" x14ac:dyDescent="0.25">
      <c r="A32" s="34" t="s">
        <v>12</v>
      </c>
      <c r="B32" s="35" t="s">
        <v>71</v>
      </c>
      <c r="C32" s="38">
        <v>2500</v>
      </c>
      <c r="D32" s="23">
        <v>2092.31</v>
      </c>
      <c r="E32" s="16">
        <f>D32</f>
        <v>2092.31</v>
      </c>
      <c r="F32" s="16">
        <f t="shared" si="15"/>
        <v>0</v>
      </c>
      <c r="G32" s="16">
        <v>0</v>
      </c>
      <c r="H32" s="16">
        <v>0</v>
      </c>
      <c r="I32" s="16">
        <f t="shared" si="17"/>
        <v>2092.31</v>
      </c>
      <c r="J32" s="16">
        <v>0</v>
      </c>
      <c r="K32" s="16">
        <v>0</v>
      </c>
      <c r="L32" s="16">
        <f t="shared" si="18"/>
        <v>2092.31</v>
      </c>
      <c r="M32" s="16">
        <f>L32/M6</f>
        <v>423.54453441295544</v>
      </c>
      <c r="N32" s="16">
        <f>L32*19%</f>
        <v>397.53890000000001</v>
      </c>
      <c r="O32" s="16">
        <f>L32+N32</f>
        <v>2489.8489</v>
      </c>
      <c r="P32" s="16">
        <f>O32/M6</f>
        <v>504.01799595141694</v>
      </c>
    </row>
    <row r="33" spans="1:16" ht="27.75" x14ac:dyDescent="0.25">
      <c r="A33" s="34" t="s">
        <v>13</v>
      </c>
      <c r="B33" s="1" t="s">
        <v>72</v>
      </c>
      <c r="C33" s="8">
        <v>0</v>
      </c>
      <c r="D33" s="15">
        <v>0</v>
      </c>
      <c r="E33" s="20">
        <v>0</v>
      </c>
      <c r="F33" s="20">
        <f t="shared" si="15"/>
        <v>0</v>
      </c>
      <c r="G33" s="20">
        <v>0</v>
      </c>
      <c r="H33" s="20">
        <v>0</v>
      </c>
      <c r="I33" s="20">
        <f t="shared" si="17"/>
        <v>0</v>
      </c>
      <c r="J33" s="20">
        <v>0</v>
      </c>
      <c r="K33" s="20">
        <v>0</v>
      </c>
      <c r="L33" s="16">
        <f t="shared" si="18"/>
        <v>0</v>
      </c>
      <c r="M33" s="16">
        <f t="shared" ref="M33:M34" si="21">J33</f>
        <v>0</v>
      </c>
      <c r="N33" s="16">
        <f t="shared" ref="N33:N41" si="22">L33*19%</f>
        <v>0</v>
      </c>
      <c r="O33" s="16">
        <f t="shared" ref="O33:O34" si="23">L33</f>
        <v>0</v>
      </c>
      <c r="P33" s="16">
        <f t="shared" ref="P33:P34" si="24">M33</f>
        <v>0</v>
      </c>
    </row>
    <row r="34" spans="1:16" ht="83.25" x14ac:dyDescent="0.25">
      <c r="A34" s="34" t="s">
        <v>14</v>
      </c>
      <c r="B34" s="1" t="s">
        <v>73</v>
      </c>
      <c r="C34" s="8">
        <v>0</v>
      </c>
      <c r="D34" s="15">
        <v>0</v>
      </c>
      <c r="E34" s="20">
        <v>0</v>
      </c>
      <c r="F34" s="20">
        <f t="shared" si="15"/>
        <v>0</v>
      </c>
      <c r="G34" s="20">
        <v>0</v>
      </c>
      <c r="H34" s="20">
        <v>0</v>
      </c>
      <c r="I34" s="20">
        <f t="shared" si="17"/>
        <v>0</v>
      </c>
      <c r="J34" s="20">
        <v>0</v>
      </c>
      <c r="K34" s="20">
        <v>0</v>
      </c>
      <c r="L34" s="16">
        <f t="shared" si="18"/>
        <v>0</v>
      </c>
      <c r="M34" s="16">
        <f t="shared" si="21"/>
        <v>0</v>
      </c>
      <c r="N34" s="16">
        <f t="shared" si="22"/>
        <v>0</v>
      </c>
      <c r="O34" s="16">
        <f t="shared" si="23"/>
        <v>0</v>
      </c>
      <c r="P34" s="16">
        <f t="shared" si="24"/>
        <v>0</v>
      </c>
    </row>
    <row r="35" spans="1:16" ht="27" x14ac:dyDescent="0.25">
      <c r="A35" s="34" t="s">
        <v>16</v>
      </c>
      <c r="B35" s="35" t="s">
        <v>74</v>
      </c>
      <c r="C35" s="38">
        <v>132380</v>
      </c>
      <c r="D35" s="23">
        <v>128240</v>
      </c>
      <c r="E35" s="22">
        <f>D35</f>
        <v>128240</v>
      </c>
      <c r="F35" s="16">
        <f t="shared" si="15"/>
        <v>0</v>
      </c>
      <c r="G35" s="16">
        <v>0</v>
      </c>
      <c r="H35" s="16">
        <v>0</v>
      </c>
      <c r="I35" s="16">
        <f t="shared" si="17"/>
        <v>128240</v>
      </c>
      <c r="J35" s="22">
        <f t="shared" ref="J35" si="25">SUM(J36:J41)</f>
        <v>0</v>
      </c>
      <c r="K35" s="22">
        <v>0</v>
      </c>
      <c r="L35" s="16">
        <f>L36+L37+L38+L39+L40+L41</f>
        <v>128240</v>
      </c>
      <c r="M35" s="16">
        <f>L35/M6</f>
        <v>25959.514170040482</v>
      </c>
      <c r="N35" s="16">
        <f t="shared" si="22"/>
        <v>24365.599999999999</v>
      </c>
      <c r="O35" s="16">
        <f>L35+N35</f>
        <v>152605.6</v>
      </c>
      <c r="P35" s="16">
        <f>O35/M6</f>
        <v>30891.821862348177</v>
      </c>
    </row>
    <row r="36" spans="1:16" ht="27.75" x14ac:dyDescent="0.25">
      <c r="A36" s="34" t="s">
        <v>75</v>
      </c>
      <c r="B36" s="1" t="s">
        <v>81</v>
      </c>
      <c r="C36" s="8">
        <v>0</v>
      </c>
      <c r="D36" s="15">
        <v>0</v>
      </c>
      <c r="E36" s="20">
        <v>0</v>
      </c>
      <c r="F36" s="20">
        <f t="shared" si="15"/>
        <v>0</v>
      </c>
      <c r="G36" s="20">
        <v>0</v>
      </c>
      <c r="H36" s="20">
        <v>0</v>
      </c>
      <c r="I36" s="20">
        <f t="shared" si="17"/>
        <v>0</v>
      </c>
      <c r="J36" s="20">
        <v>0</v>
      </c>
      <c r="K36" s="20">
        <v>0</v>
      </c>
      <c r="L36" s="20">
        <f t="shared" si="18"/>
        <v>0</v>
      </c>
      <c r="M36" s="20">
        <f>L36/M6</f>
        <v>0</v>
      </c>
      <c r="N36" s="16">
        <f t="shared" si="22"/>
        <v>0</v>
      </c>
      <c r="O36" s="16">
        <f t="shared" ref="O36:O41" si="26">L36+N36</f>
        <v>0</v>
      </c>
      <c r="P36" s="16">
        <f>O36/M6</f>
        <v>0</v>
      </c>
    </row>
    <row r="37" spans="1:16" ht="27.75" x14ac:dyDescent="0.25">
      <c r="A37" s="34" t="s">
        <v>76</v>
      </c>
      <c r="B37" s="1" t="s">
        <v>82</v>
      </c>
      <c r="C37" s="8">
        <v>0</v>
      </c>
      <c r="D37" s="15">
        <v>0</v>
      </c>
      <c r="E37" s="20">
        <v>0</v>
      </c>
      <c r="F37" s="20">
        <f t="shared" si="15"/>
        <v>0</v>
      </c>
      <c r="G37" s="20">
        <v>0</v>
      </c>
      <c r="H37" s="20">
        <v>0</v>
      </c>
      <c r="I37" s="20">
        <f t="shared" si="17"/>
        <v>0</v>
      </c>
      <c r="J37" s="20">
        <v>0</v>
      </c>
      <c r="K37" s="20">
        <v>0</v>
      </c>
      <c r="L37" s="20">
        <f t="shared" si="18"/>
        <v>0</v>
      </c>
      <c r="M37" s="20">
        <f t="shared" ref="M37" si="27">J37</f>
        <v>0</v>
      </c>
      <c r="N37" s="16">
        <f t="shared" si="22"/>
        <v>0</v>
      </c>
      <c r="O37" s="16">
        <f t="shared" si="26"/>
        <v>0</v>
      </c>
      <c r="P37" s="16">
        <f>O37/M6</f>
        <v>0</v>
      </c>
    </row>
    <row r="38" spans="1:16" ht="111" x14ac:dyDescent="0.25">
      <c r="A38" s="34" t="s">
        <v>77</v>
      </c>
      <c r="B38" s="1" t="s">
        <v>83</v>
      </c>
      <c r="C38" s="8">
        <v>39600</v>
      </c>
      <c r="D38" s="15">
        <v>39600</v>
      </c>
      <c r="E38" s="20">
        <f>D38</f>
        <v>39600</v>
      </c>
      <c r="F38" s="20">
        <f t="shared" si="15"/>
        <v>0</v>
      </c>
      <c r="G38" s="20">
        <v>0</v>
      </c>
      <c r="H38" s="20">
        <v>0</v>
      </c>
      <c r="I38" s="20">
        <f t="shared" si="17"/>
        <v>39600</v>
      </c>
      <c r="J38" s="20">
        <v>0</v>
      </c>
      <c r="K38" s="20">
        <v>0</v>
      </c>
      <c r="L38" s="20">
        <f t="shared" si="18"/>
        <v>39600</v>
      </c>
      <c r="M38" s="20">
        <f>L38/M6</f>
        <v>8016.1943319838047</v>
      </c>
      <c r="N38" s="16">
        <f t="shared" si="22"/>
        <v>7524</v>
      </c>
      <c r="O38" s="16">
        <f t="shared" si="26"/>
        <v>47124</v>
      </c>
      <c r="P38" s="16">
        <f>O38/M6</f>
        <v>9539.2712550607284</v>
      </c>
    </row>
    <row r="39" spans="1:16" ht="118.5" customHeight="1" x14ac:dyDescent="0.25">
      <c r="A39" s="34" t="s">
        <v>78</v>
      </c>
      <c r="B39" s="52" t="s">
        <v>124</v>
      </c>
      <c r="C39" s="53">
        <v>15280</v>
      </c>
      <c r="D39" s="15">
        <v>11140</v>
      </c>
      <c r="E39" s="20">
        <v>0</v>
      </c>
      <c r="F39" s="20">
        <f t="shared" si="15"/>
        <v>11140</v>
      </c>
      <c r="G39" s="20">
        <v>0</v>
      </c>
      <c r="H39" s="20">
        <v>0</v>
      </c>
      <c r="I39" s="20">
        <f t="shared" si="17"/>
        <v>11140</v>
      </c>
      <c r="J39" s="20">
        <v>0</v>
      </c>
      <c r="K39" s="20">
        <v>0</v>
      </c>
      <c r="L39" s="20">
        <f t="shared" si="18"/>
        <v>11140</v>
      </c>
      <c r="M39" s="20">
        <f>L39/M6</f>
        <v>2255.0607287449393</v>
      </c>
      <c r="N39" s="16">
        <f t="shared" si="22"/>
        <v>2116.6</v>
      </c>
      <c r="O39" s="16">
        <f t="shared" si="26"/>
        <v>13256.6</v>
      </c>
      <c r="P39" s="16">
        <f>O39/M6</f>
        <v>2683.5222672064774</v>
      </c>
    </row>
    <row r="40" spans="1:16" ht="83.25" x14ac:dyDescent="0.25">
      <c r="A40" s="34" t="s">
        <v>79</v>
      </c>
      <c r="B40" s="1" t="s">
        <v>84</v>
      </c>
      <c r="C40" s="8">
        <v>12500</v>
      </c>
      <c r="D40" s="15">
        <v>12500</v>
      </c>
      <c r="E40" s="20">
        <v>0</v>
      </c>
      <c r="F40" s="20">
        <f t="shared" si="15"/>
        <v>12500</v>
      </c>
      <c r="G40" s="20">
        <v>0</v>
      </c>
      <c r="H40" s="20">
        <v>0</v>
      </c>
      <c r="I40" s="20">
        <f t="shared" si="17"/>
        <v>12500</v>
      </c>
      <c r="J40" s="20">
        <v>0</v>
      </c>
      <c r="K40" s="20">
        <v>0</v>
      </c>
      <c r="L40" s="20">
        <f t="shared" si="18"/>
        <v>12500</v>
      </c>
      <c r="M40" s="20">
        <f>L40/M6</f>
        <v>2530.3643724696353</v>
      </c>
      <c r="N40" s="16">
        <f t="shared" si="22"/>
        <v>2375</v>
      </c>
      <c r="O40" s="16">
        <f t="shared" si="26"/>
        <v>14875</v>
      </c>
      <c r="P40" s="16">
        <f>O40/M6</f>
        <v>3011.1336032388663</v>
      </c>
    </row>
    <row r="41" spans="1:16" ht="55.5" x14ac:dyDescent="0.25">
      <c r="A41" s="34" t="s">
        <v>80</v>
      </c>
      <c r="B41" s="1" t="s">
        <v>85</v>
      </c>
      <c r="C41" s="2">
        <v>65000</v>
      </c>
      <c r="D41" s="15">
        <v>65000</v>
      </c>
      <c r="E41" s="24">
        <v>0</v>
      </c>
      <c r="F41" s="20">
        <f t="shared" si="15"/>
        <v>65000</v>
      </c>
      <c r="G41" s="20">
        <v>0</v>
      </c>
      <c r="H41" s="20">
        <v>0</v>
      </c>
      <c r="I41" s="20">
        <f t="shared" si="17"/>
        <v>65000</v>
      </c>
      <c r="J41" s="20">
        <v>0</v>
      </c>
      <c r="K41" s="20">
        <v>0</v>
      </c>
      <c r="L41" s="20">
        <f t="shared" si="18"/>
        <v>65000</v>
      </c>
      <c r="M41" s="20">
        <f>L41/M6</f>
        <v>13157.894736842105</v>
      </c>
      <c r="N41" s="16">
        <f t="shared" si="22"/>
        <v>12350</v>
      </c>
      <c r="O41" s="16">
        <f t="shared" si="26"/>
        <v>77350</v>
      </c>
      <c r="P41" s="16">
        <f>O41/M6</f>
        <v>15657.894736842103</v>
      </c>
    </row>
    <row r="42" spans="1:16" ht="54" x14ac:dyDescent="0.25">
      <c r="A42" s="34" t="s">
        <v>18</v>
      </c>
      <c r="B42" s="35" t="s">
        <v>15</v>
      </c>
      <c r="C42" s="38">
        <v>0</v>
      </c>
      <c r="D42" s="23">
        <v>0</v>
      </c>
      <c r="E42" s="22">
        <v>0</v>
      </c>
      <c r="F42" s="22">
        <f t="shared" si="15"/>
        <v>0</v>
      </c>
      <c r="G42" s="22">
        <v>0</v>
      </c>
      <c r="H42" s="22">
        <v>0</v>
      </c>
      <c r="I42" s="22">
        <f t="shared" si="17"/>
        <v>0</v>
      </c>
      <c r="J42" s="22">
        <v>0</v>
      </c>
      <c r="K42" s="22">
        <v>0</v>
      </c>
      <c r="L42" s="16">
        <f t="shared" si="18"/>
        <v>0</v>
      </c>
      <c r="M42" s="16">
        <f t="shared" ref="M42" si="28">J42</f>
        <v>0</v>
      </c>
      <c r="N42" s="16">
        <f t="shared" ref="N42" si="29">K42</f>
        <v>0</v>
      </c>
      <c r="O42" s="16">
        <f t="shared" ref="O42" si="30">L42</f>
        <v>0</v>
      </c>
      <c r="P42" s="16">
        <f t="shared" ref="P42" si="31">M42</f>
        <v>0</v>
      </c>
    </row>
    <row r="43" spans="1:16" ht="27" x14ac:dyDescent="0.25">
      <c r="A43" s="34" t="s">
        <v>86</v>
      </c>
      <c r="B43" s="3" t="s">
        <v>17</v>
      </c>
      <c r="C43" s="54">
        <f>C45+C44</f>
        <v>21000</v>
      </c>
      <c r="D43" s="23">
        <v>17500</v>
      </c>
      <c r="E43" s="18">
        <v>0</v>
      </c>
      <c r="F43" s="16">
        <f t="shared" si="15"/>
        <v>17500</v>
      </c>
      <c r="G43" s="16">
        <f>G44+G45</f>
        <v>0</v>
      </c>
      <c r="H43" s="16">
        <f>H44+H45</f>
        <v>0</v>
      </c>
      <c r="I43" s="16">
        <f t="shared" si="17"/>
        <v>17500</v>
      </c>
      <c r="J43" s="18">
        <v>0</v>
      </c>
      <c r="K43" s="18">
        <v>0</v>
      </c>
      <c r="L43" s="16">
        <f>L44+L45</f>
        <v>17500</v>
      </c>
      <c r="M43" s="16">
        <f t="shared" ref="M43:P43" si="32">M44+M45</f>
        <v>3542.5101214574897</v>
      </c>
      <c r="N43" s="16">
        <f t="shared" si="32"/>
        <v>3325</v>
      </c>
      <c r="O43" s="16">
        <f t="shared" si="32"/>
        <v>20825</v>
      </c>
      <c r="P43" s="16">
        <f t="shared" si="32"/>
        <v>4215.5870445344126</v>
      </c>
    </row>
    <row r="44" spans="1:16" ht="55.5" x14ac:dyDescent="0.25">
      <c r="A44" s="34" t="s">
        <v>87</v>
      </c>
      <c r="B44" s="1" t="s">
        <v>89</v>
      </c>
      <c r="C44" s="8">
        <v>0</v>
      </c>
      <c r="D44" s="15">
        <v>0</v>
      </c>
      <c r="E44" s="20">
        <v>0</v>
      </c>
      <c r="F44" s="20">
        <f t="shared" si="15"/>
        <v>0</v>
      </c>
      <c r="G44" s="20">
        <v>0</v>
      </c>
      <c r="H44" s="20">
        <v>0</v>
      </c>
      <c r="I44" s="20">
        <f t="shared" si="17"/>
        <v>0</v>
      </c>
      <c r="J44" s="19">
        <v>0</v>
      </c>
      <c r="K44" s="19">
        <v>0</v>
      </c>
      <c r="L44" s="20">
        <f t="shared" si="18"/>
        <v>0</v>
      </c>
      <c r="M44" s="20">
        <f>L44/M6</f>
        <v>0</v>
      </c>
      <c r="N44" s="20">
        <f>L44*19%</f>
        <v>0</v>
      </c>
      <c r="O44" s="20">
        <f>L44+N44</f>
        <v>0</v>
      </c>
      <c r="P44" s="20">
        <f>O44/M6</f>
        <v>0</v>
      </c>
    </row>
    <row r="45" spans="1:16" ht="27.75" x14ac:dyDescent="0.25">
      <c r="A45" s="34" t="s">
        <v>88</v>
      </c>
      <c r="B45" s="1" t="s">
        <v>90</v>
      </c>
      <c r="C45" s="8">
        <v>21000</v>
      </c>
      <c r="D45" s="15">
        <v>17500</v>
      </c>
      <c r="E45" s="20">
        <v>0</v>
      </c>
      <c r="F45" s="20">
        <f t="shared" si="15"/>
        <v>17500</v>
      </c>
      <c r="G45" s="20">
        <v>0</v>
      </c>
      <c r="H45" s="20">
        <v>0</v>
      </c>
      <c r="I45" s="20">
        <f t="shared" si="17"/>
        <v>17500</v>
      </c>
      <c r="J45" s="19">
        <v>0</v>
      </c>
      <c r="K45" s="19">
        <v>0</v>
      </c>
      <c r="L45" s="20">
        <f t="shared" si="18"/>
        <v>17500</v>
      </c>
      <c r="M45" s="20">
        <f>L45/M6</f>
        <v>3542.5101214574897</v>
      </c>
      <c r="N45" s="20">
        <f>L45*19%</f>
        <v>3325</v>
      </c>
      <c r="O45" s="20">
        <f>L45+N45</f>
        <v>20825</v>
      </c>
      <c r="P45" s="20">
        <f>O45/M6</f>
        <v>4215.5870445344126</v>
      </c>
    </row>
    <row r="46" spans="1:16" ht="27" x14ac:dyDescent="0.25">
      <c r="A46" s="34" t="s">
        <v>91</v>
      </c>
      <c r="B46" s="35" t="s">
        <v>19</v>
      </c>
      <c r="C46" s="18">
        <f>C47+C48+C49</f>
        <v>40920</v>
      </c>
      <c r="D46" s="23">
        <v>44000</v>
      </c>
      <c r="E46" s="22">
        <f t="shared" ref="E46:J46" si="33">E47+E50</f>
        <v>1916.97</v>
      </c>
      <c r="F46" s="16">
        <f t="shared" si="15"/>
        <v>42083.03</v>
      </c>
      <c r="G46" s="16">
        <f>G47+G50</f>
        <v>0</v>
      </c>
      <c r="H46" s="16">
        <f>H47+H50</f>
        <v>0</v>
      </c>
      <c r="I46" s="16">
        <f t="shared" si="17"/>
        <v>44000</v>
      </c>
      <c r="J46" s="22">
        <f t="shared" si="33"/>
        <v>0</v>
      </c>
      <c r="K46" s="22">
        <v>0</v>
      </c>
      <c r="L46" s="16">
        <f>L47+L50</f>
        <v>44000</v>
      </c>
      <c r="M46" s="16">
        <f t="shared" ref="M46:P46" si="34">M47+M50</f>
        <v>8906.8825910931173</v>
      </c>
      <c r="N46" s="16">
        <f t="shared" si="34"/>
        <v>8360</v>
      </c>
      <c r="O46" s="16">
        <f t="shared" si="34"/>
        <v>52360</v>
      </c>
      <c r="P46" s="16">
        <f t="shared" si="34"/>
        <v>35933.036437246963</v>
      </c>
    </row>
    <row r="47" spans="1:16" ht="46.5" customHeight="1" x14ac:dyDescent="0.25">
      <c r="A47" s="34" t="s">
        <v>92</v>
      </c>
      <c r="B47" s="1" t="s">
        <v>93</v>
      </c>
      <c r="C47" s="8">
        <v>20460</v>
      </c>
      <c r="D47" s="15">
        <v>22000</v>
      </c>
      <c r="E47" s="20">
        <v>0</v>
      </c>
      <c r="F47" s="20">
        <f t="shared" si="15"/>
        <v>22000</v>
      </c>
      <c r="G47" s="20">
        <f>G48+G49</f>
        <v>0</v>
      </c>
      <c r="H47" s="20">
        <f>H48+H49</f>
        <v>0</v>
      </c>
      <c r="I47" s="20">
        <f t="shared" si="17"/>
        <v>22000</v>
      </c>
      <c r="J47" s="20">
        <f>J48+J49</f>
        <v>0</v>
      </c>
      <c r="K47" s="20">
        <v>0</v>
      </c>
      <c r="L47" s="20">
        <f>L48+L49</f>
        <v>22000</v>
      </c>
      <c r="M47" s="20">
        <f>L47/M6</f>
        <v>4453.4412955465586</v>
      </c>
      <c r="N47" s="20">
        <f>L47*19%</f>
        <v>4180</v>
      </c>
      <c r="O47" s="20">
        <f>L47+N47</f>
        <v>26180</v>
      </c>
      <c r="P47" s="20">
        <f>M47+O47</f>
        <v>30633.44129554656</v>
      </c>
    </row>
    <row r="48" spans="1:16" ht="80.25" customHeight="1" x14ac:dyDescent="0.25">
      <c r="A48" s="34" t="s">
        <v>94</v>
      </c>
      <c r="B48" s="1" t="s">
        <v>95</v>
      </c>
      <c r="C48" s="8">
        <v>18600</v>
      </c>
      <c r="D48" s="15">
        <v>20000</v>
      </c>
      <c r="E48" s="20">
        <v>0</v>
      </c>
      <c r="F48" s="20">
        <f t="shared" si="15"/>
        <v>20000</v>
      </c>
      <c r="G48" s="20">
        <v>0</v>
      </c>
      <c r="H48" s="20">
        <v>0</v>
      </c>
      <c r="I48" s="20">
        <f t="shared" si="17"/>
        <v>20000</v>
      </c>
      <c r="J48" s="20">
        <v>0</v>
      </c>
      <c r="K48" s="20">
        <v>0</v>
      </c>
      <c r="L48" s="20">
        <f t="shared" si="18"/>
        <v>20000</v>
      </c>
      <c r="M48" s="20">
        <f>L48/M6</f>
        <v>4048.5829959514167</v>
      </c>
      <c r="N48" s="20">
        <f>L48*19%</f>
        <v>3800</v>
      </c>
      <c r="O48" s="20">
        <f>L48+N48</f>
        <v>23800</v>
      </c>
      <c r="P48" s="20">
        <f>O48/M6</f>
        <v>4817.8137651821862</v>
      </c>
    </row>
    <row r="49" spans="1:16" ht="225" customHeight="1" x14ac:dyDescent="0.25">
      <c r="A49" s="34" t="s">
        <v>96</v>
      </c>
      <c r="B49" s="1" t="s">
        <v>97</v>
      </c>
      <c r="C49" s="7">
        <v>1860</v>
      </c>
      <c r="D49" s="15">
        <v>2000</v>
      </c>
      <c r="E49" s="20">
        <v>0</v>
      </c>
      <c r="F49" s="20">
        <f t="shared" si="15"/>
        <v>2000</v>
      </c>
      <c r="G49" s="20">
        <v>0</v>
      </c>
      <c r="H49" s="20">
        <v>0</v>
      </c>
      <c r="I49" s="20">
        <f t="shared" si="17"/>
        <v>2000</v>
      </c>
      <c r="J49" s="20">
        <v>0</v>
      </c>
      <c r="K49" s="20">
        <v>0</v>
      </c>
      <c r="L49" s="20">
        <f t="shared" si="18"/>
        <v>2000</v>
      </c>
      <c r="M49" s="20">
        <f>L49/M6</f>
        <v>404.85829959514166</v>
      </c>
      <c r="N49" s="20">
        <f>L49*19%</f>
        <v>380</v>
      </c>
      <c r="O49" s="20">
        <f>L49+N49</f>
        <v>2380</v>
      </c>
      <c r="P49" s="20">
        <f>O49/M6</f>
        <v>481.78137651821856</v>
      </c>
    </row>
    <row r="50" spans="1:16" ht="46.5" customHeight="1" x14ac:dyDescent="0.25">
      <c r="A50" s="34" t="s">
        <v>99</v>
      </c>
      <c r="B50" s="1" t="s">
        <v>52</v>
      </c>
      <c r="C50" s="8">
        <v>20460</v>
      </c>
      <c r="D50" s="15">
        <v>22000</v>
      </c>
      <c r="E50" s="20">
        <v>1916.97</v>
      </c>
      <c r="F50" s="20">
        <f t="shared" si="15"/>
        <v>20083.03</v>
      </c>
      <c r="G50" s="20">
        <v>0</v>
      </c>
      <c r="H50" s="20">
        <v>0</v>
      </c>
      <c r="I50" s="20">
        <f t="shared" si="17"/>
        <v>22000</v>
      </c>
      <c r="J50" s="20">
        <v>0</v>
      </c>
      <c r="K50" s="20">
        <v>0</v>
      </c>
      <c r="L50" s="20">
        <f t="shared" si="18"/>
        <v>22000</v>
      </c>
      <c r="M50" s="20">
        <f>L50/M6</f>
        <v>4453.4412955465586</v>
      </c>
      <c r="N50" s="20">
        <f>L50*19%</f>
        <v>4180</v>
      </c>
      <c r="O50" s="20">
        <f>L50+N50</f>
        <v>26180</v>
      </c>
      <c r="P50" s="20">
        <f>O50/M6</f>
        <v>5299.5951417004044</v>
      </c>
    </row>
    <row r="51" spans="1:16" ht="27" x14ac:dyDescent="0.25">
      <c r="A51" s="76" t="s">
        <v>20</v>
      </c>
      <c r="B51" s="76"/>
      <c r="C51" s="33">
        <f>C46+C43+C42+C35+C32+C28</f>
        <v>207300</v>
      </c>
      <c r="D51" s="33">
        <f t="shared" ref="D51:P51" si="35">D46+D43+D42+D35+D32+D28</f>
        <v>203599.03</v>
      </c>
      <c r="E51" s="33">
        <f t="shared" si="35"/>
        <v>144016</v>
      </c>
      <c r="F51" s="33">
        <f t="shared" si="35"/>
        <v>59583.03</v>
      </c>
      <c r="G51" s="33">
        <f t="shared" si="35"/>
        <v>0</v>
      </c>
      <c r="H51" s="33">
        <f t="shared" si="35"/>
        <v>0</v>
      </c>
      <c r="I51" s="33">
        <f t="shared" si="35"/>
        <v>203599.03</v>
      </c>
      <c r="J51" s="33">
        <f t="shared" si="35"/>
        <v>0</v>
      </c>
      <c r="K51" s="33">
        <f t="shared" si="35"/>
        <v>0</v>
      </c>
      <c r="L51" s="33">
        <f t="shared" si="35"/>
        <v>203599.03</v>
      </c>
      <c r="M51" s="33">
        <f t="shared" si="35"/>
        <v>41214.378542510116</v>
      </c>
      <c r="N51" s="33">
        <f t="shared" si="35"/>
        <v>38683.815699999999</v>
      </c>
      <c r="O51" s="33">
        <f t="shared" si="35"/>
        <v>242282.84570000001</v>
      </c>
      <c r="P51" s="33">
        <f t="shared" si="35"/>
        <v>74378.9566194332</v>
      </c>
    </row>
    <row r="52" spans="1:16" ht="27.75" customHeight="1" x14ac:dyDescent="0.25">
      <c r="A52" s="73" t="s">
        <v>60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</row>
    <row r="53" spans="1:16" ht="27.75" x14ac:dyDescent="0.25">
      <c r="A53" s="74" t="s">
        <v>59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</row>
    <row r="54" spans="1:16" ht="27" x14ac:dyDescent="0.25">
      <c r="A54" s="34" t="s">
        <v>21</v>
      </c>
      <c r="B54" s="35" t="s">
        <v>22</v>
      </c>
      <c r="C54" s="21">
        <v>1711644.78</v>
      </c>
      <c r="D54" s="21">
        <f>D55+D77+D82+D87</f>
        <v>1858569.3600000006</v>
      </c>
      <c r="E54" s="21">
        <f>E55+E77+E82+E87</f>
        <v>773819.04999999993</v>
      </c>
      <c r="F54" s="23">
        <f>D54-E54</f>
        <v>1084750.3100000005</v>
      </c>
      <c r="G54" s="23">
        <f>G55+G77+G82+G87</f>
        <v>46435.1</v>
      </c>
      <c r="H54" s="23">
        <f>H55+H77+H82+H87</f>
        <v>115107.67000000001</v>
      </c>
      <c r="I54" s="23">
        <f>E54+F54-G54+H54</f>
        <v>1927241.9300000002</v>
      </c>
      <c r="J54" s="23">
        <f>J55+J77+J82+J87</f>
        <v>534897.86</v>
      </c>
      <c r="K54" s="23">
        <f>K55+K77+K82+K87</f>
        <v>123561.40566000003</v>
      </c>
      <c r="L54" s="23">
        <f t="shared" ref="L54" si="36">L55+L77+L82+L87</f>
        <v>2050803.3356599999</v>
      </c>
      <c r="M54" s="23">
        <f>L54/M6</f>
        <v>415142.37563967606</v>
      </c>
      <c r="N54" s="23">
        <f>L54*19%</f>
        <v>389652.6337754</v>
      </c>
      <c r="O54" s="23">
        <f>L54+N54</f>
        <v>2440455.9694353999</v>
      </c>
      <c r="P54" s="23">
        <f>O54/M6</f>
        <v>494019.42701121449</v>
      </c>
    </row>
    <row r="55" spans="1:16" ht="27" hidden="1" customHeight="1" x14ac:dyDescent="0.25">
      <c r="A55" s="34"/>
      <c r="B55" s="55" t="s">
        <v>141</v>
      </c>
      <c r="C55" s="21"/>
      <c r="D55" s="21">
        <f>SUM(D56:D76)</f>
        <v>1397607.4300000004</v>
      </c>
      <c r="E55" s="21">
        <f>SUM(E56:E76)</f>
        <v>547633.94999999995</v>
      </c>
      <c r="F55" s="23">
        <f>SUM(F56:F76)</f>
        <v>849973.48</v>
      </c>
      <c r="G55" s="23">
        <f>SUM(G56:G76)</f>
        <v>6286.9</v>
      </c>
      <c r="H55" s="23">
        <f>SUM(H56:H76)</f>
        <v>30625.65</v>
      </c>
      <c r="I55" s="23">
        <f t="shared" ref="I55:I98" si="37">E55+F55-G55+H55</f>
        <v>1421946.18</v>
      </c>
      <c r="J55" s="18">
        <f>SUM(J56:J76)</f>
        <v>359859.56</v>
      </c>
      <c r="K55" s="18">
        <f>SUM(K56:K76)</f>
        <v>83127.558360000025</v>
      </c>
      <c r="L55" s="18">
        <f>I55+K55</f>
        <v>1505073.7383599998</v>
      </c>
      <c r="M55" s="27">
        <f>D55+D77+D82+D87</f>
        <v>1858569.3600000006</v>
      </c>
      <c r="N55" s="25"/>
      <c r="O55" s="26"/>
      <c r="P55" s="26"/>
    </row>
    <row r="56" spans="1:16" ht="27.75" hidden="1" customHeight="1" x14ac:dyDescent="0.25">
      <c r="A56" s="34"/>
      <c r="B56" s="56" t="s">
        <v>175</v>
      </c>
      <c r="C56" s="21"/>
      <c r="D56" s="24">
        <v>104001.31</v>
      </c>
      <c r="E56" s="15">
        <v>8877.35</v>
      </c>
      <c r="F56" s="15">
        <f t="shared" ref="F56:F91" si="38">D56-E56</f>
        <v>95123.959999999992</v>
      </c>
      <c r="G56" s="15">
        <v>0</v>
      </c>
      <c r="H56" s="15">
        <v>0</v>
      </c>
      <c r="I56" s="15">
        <f t="shared" si="37"/>
        <v>104001.31</v>
      </c>
      <c r="J56" s="24">
        <v>35001</v>
      </c>
      <c r="K56" s="24">
        <f>J56*1.231-J56</f>
        <v>8085.2309999999998</v>
      </c>
      <c r="L56" s="18">
        <f t="shared" ref="L56:L98" si="39">I56+K56</f>
        <v>112086.541</v>
      </c>
      <c r="M56" s="27">
        <f>M55-D54</f>
        <v>0</v>
      </c>
      <c r="N56" s="25"/>
      <c r="O56" s="26"/>
      <c r="P56" s="26"/>
    </row>
    <row r="57" spans="1:16" ht="27.75" hidden="1" customHeight="1" x14ac:dyDescent="0.25">
      <c r="A57" s="34"/>
      <c r="B57" s="56" t="s">
        <v>174</v>
      </c>
      <c r="C57" s="21"/>
      <c r="D57" s="24">
        <v>93090.21</v>
      </c>
      <c r="E57" s="15">
        <v>92478.38</v>
      </c>
      <c r="F57" s="15">
        <f t="shared" si="38"/>
        <v>611.83000000000175</v>
      </c>
      <c r="G57" s="15">
        <v>0</v>
      </c>
      <c r="H57" s="15">
        <v>0</v>
      </c>
      <c r="I57" s="15">
        <f t="shared" si="37"/>
        <v>93090.21</v>
      </c>
      <c r="J57" s="24">
        <v>226.6</v>
      </c>
      <c r="K57" s="24">
        <f t="shared" ref="K57:K65" si="40">J57*1.231-J57</f>
        <v>52.344600000000042</v>
      </c>
      <c r="L57" s="18">
        <f t="shared" si="39"/>
        <v>93142.554600000003</v>
      </c>
      <c r="M57" s="25"/>
      <c r="N57" s="25"/>
      <c r="O57" s="26"/>
      <c r="P57" s="26"/>
    </row>
    <row r="58" spans="1:16" ht="40.5" hidden="1" customHeight="1" x14ac:dyDescent="0.25">
      <c r="A58" s="34"/>
      <c r="B58" s="56" t="s">
        <v>176</v>
      </c>
      <c r="C58" s="21"/>
      <c r="D58" s="24">
        <v>154794.46</v>
      </c>
      <c r="E58" s="15">
        <v>0</v>
      </c>
      <c r="F58" s="15">
        <f t="shared" si="38"/>
        <v>154794.46</v>
      </c>
      <c r="G58" s="15">
        <v>0</v>
      </c>
      <c r="H58" s="15">
        <v>0</v>
      </c>
      <c r="I58" s="15">
        <f t="shared" si="37"/>
        <v>154794.46</v>
      </c>
      <c r="J58" s="24">
        <v>15949.2</v>
      </c>
      <c r="K58" s="24">
        <f t="shared" si="40"/>
        <v>3684.2652000000016</v>
      </c>
      <c r="L58" s="18">
        <f t="shared" si="39"/>
        <v>158478.72519999999</v>
      </c>
      <c r="M58" s="25"/>
      <c r="N58" s="25"/>
      <c r="O58" s="26"/>
      <c r="P58" s="26"/>
    </row>
    <row r="59" spans="1:16" ht="40.5" hidden="1" customHeight="1" x14ac:dyDescent="0.25">
      <c r="A59" s="34"/>
      <c r="B59" s="56" t="s">
        <v>177</v>
      </c>
      <c r="C59" s="21"/>
      <c r="D59" s="24">
        <v>25218.21</v>
      </c>
      <c r="E59" s="15">
        <v>0</v>
      </c>
      <c r="F59" s="15">
        <f t="shared" si="38"/>
        <v>25218.21</v>
      </c>
      <c r="G59" s="15">
        <v>0</v>
      </c>
      <c r="H59" s="15">
        <v>0</v>
      </c>
      <c r="I59" s="15">
        <f t="shared" si="37"/>
        <v>25218.21</v>
      </c>
      <c r="J59" s="24">
        <v>2598.35</v>
      </c>
      <c r="K59" s="24">
        <f t="shared" si="40"/>
        <v>600.2188500000002</v>
      </c>
      <c r="L59" s="18">
        <f t="shared" si="39"/>
        <v>25818.42885</v>
      </c>
      <c r="M59" s="25"/>
      <c r="N59" s="25"/>
      <c r="O59" s="26"/>
      <c r="P59" s="26"/>
    </row>
    <row r="60" spans="1:16" ht="40.5" hidden="1" customHeight="1" x14ac:dyDescent="0.25">
      <c r="A60" s="34"/>
      <c r="B60" s="56" t="s">
        <v>142</v>
      </c>
      <c r="C60" s="21"/>
      <c r="D60" s="24">
        <v>72310.320000000007</v>
      </c>
      <c r="E60" s="15">
        <v>0</v>
      </c>
      <c r="F60" s="15">
        <f t="shared" si="38"/>
        <v>72310.320000000007</v>
      </c>
      <c r="G60" s="15">
        <v>0</v>
      </c>
      <c r="H60" s="15">
        <v>0</v>
      </c>
      <c r="I60" s="15">
        <f t="shared" si="37"/>
        <v>72310.320000000007</v>
      </c>
      <c r="J60" s="24">
        <v>48867.96</v>
      </c>
      <c r="K60" s="24">
        <f t="shared" si="40"/>
        <v>11288.498760000002</v>
      </c>
      <c r="L60" s="18">
        <f t="shared" si="39"/>
        <v>83598.818760000009</v>
      </c>
      <c r="M60" s="25"/>
      <c r="N60" s="25"/>
      <c r="O60" s="26"/>
      <c r="P60" s="26"/>
    </row>
    <row r="61" spans="1:16" ht="40.5" hidden="1" customHeight="1" x14ac:dyDescent="0.25">
      <c r="A61" s="34"/>
      <c r="B61" s="56" t="s">
        <v>143</v>
      </c>
      <c r="C61" s="21"/>
      <c r="D61" s="24">
        <v>7606.08</v>
      </c>
      <c r="E61" s="15">
        <v>0</v>
      </c>
      <c r="F61" s="15">
        <f t="shared" si="38"/>
        <v>7606.08</v>
      </c>
      <c r="G61" s="15">
        <v>0</v>
      </c>
      <c r="H61" s="15">
        <v>0</v>
      </c>
      <c r="I61" s="15">
        <f t="shared" si="37"/>
        <v>7606.08</v>
      </c>
      <c r="J61" s="24">
        <v>4448.38</v>
      </c>
      <c r="K61" s="24">
        <f t="shared" si="40"/>
        <v>1027.5757800000001</v>
      </c>
      <c r="L61" s="18">
        <f t="shared" si="39"/>
        <v>8633.655780000001</v>
      </c>
      <c r="M61" s="25"/>
      <c r="N61" s="25"/>
      <c r="O61" s="26"/>
      <c r="P61" s="26"/>
    </row>
    <row r="62" spans="1:16" ht="40.5" hidden="1" customHeight="1" x14ac:dyDescent="0.25">
      <c r="A62" s="34"/>
      <c r="B62" s="56" t="s">
        <v>144</v>
      </c>
      <c r="C62" s="21"/>
      <c r="D62" s="24">
        <v>137126.13</v>
      </c>
      <c r="E62" s="15">
        <v>89167.06</v>
      </c>
      <c r="F62" s="15">
        <f t="shared" si="38"/>
        <v>47959.070000000007</v>
      </c>
      <c r="G62" s="15">
        <v>0</v>
      </c>
      <c r="H62" s="15">
        <v>0</v>
      </c>
      <c r="I62" s="15">
        <f t="shared" si="37"/>
        <v>137126.13</v>
      </c>
      <c r="J62" s="24">
        <v>15719.27</v>
      </c>
      <c r="K62" s="24">
        <f t="shared" si="40"/>
        <v>3631.1513700000032</v>
      </c>
      <c r="L62" s="18">
        <f t="shared" si="39"/>
        <v>140757.28137000001</v>
      </c>
      <c r="M62" s="25"/>
      <c r="N62" s="25"/>
      <c r="O62" s="26"/>
      <c r="P62" s="26"/>
    </row>
    <row r="63" spans="1:16" ht="40.5" hidden="1" customHeight="1" x14ac:dyDescent="0.25">
      <c r="A63" s="34"/>
      <c r="B63" s="56" t="s">
        <v>145</v>
      </c>
      <c r="C63" s="21"/>
      <c r="D63" s="24">
        <v>33771.81</v>
      </c>
      <c r="E63" s="15">
        <v>0</v>
      </c>
      <c r="F63" s="15">
        <f t="shared" si="38"/>
        <v>33771.81</v>
      </c>
      <c r="G63" s="15">
        <v>0</v>
      </c>
      <c r="H63" s="15">
        <v>0</v>
      </c>
      <c r="I63" s="15">
        <f t="shared" si="37"/>
        <v>33771.81</v>
      </c>
      <c r="J63" s="24">
        <v>16553.8</v>
      </c>
      <c r="K63" s="24">
        <f t="shared" si="40"/>
        <v>3823.9278000000013</v>
      </c>
      <c r="L63" s="18">
        <f t="shared" si="39"/>
        <v>37595.737800000003</v>
      </c>
      <c r="M63" s="25"/>
      <c r="N63" s="25"/>
      <c r="O63" s="26"/>
      <c r="P63" s="26"/>
    </row>
    <row r="64" spans="1:16" ht="27.75" hidden="1" customHeight="1" x14ac:dyDescent="0.25">
      <c r="A64" s="34"/>
      <c r="B64" s="56" t="s">
        <v>146</v>
      </c>
      <c r="C64" s="21"/>
      <c r="D64" s="24">
        <v>4603.54</v>
      </c>
      <c r="E64" s="15">
        <v>4603.54</v>
      </c>
      <c r="F64" s="15">
        <f t="shared" si="38"/>
        <v>0</v>
      </c>
      <c r="G64" s="15">
        <v>0</v>
      </c>
      <c r="H64" s="15">
        <v>0</v>
      </c>
      <c r="I64" s="15">
        <f t="shared" si="37"/>
        <v>4603.54</v>
      </c>
      <c r="J64" s="24">
        <v>0</v>
      </c>
      <c r="K64" s="24">
        <f t="shared" si="40"/>
        <v>0</v>
      </c>
      <c r="L64" s="18">
        <f t="shared" si="39"/>
        <v>4603.54</v>
      </c>
      <c r="M64" s="25"/>
      <c r="N64" s="25"/>
      <c r="O64" s="26"/>
      <c r="P64" s="26"/>
    </row>
    <row r="65" spans="1:16" ht="40.5" hidden="1" customHeight="1" x14ac:dyDescent="0.25">
      <c r="A65" s="34"/>
      <c r="B65" s="56" t="s">
        <v>147</v>
      </c>
      <c r="C65" s="21"/>
      <c r="D65" s="24">
        <v>2553</v>
      </c>
      <c r="E65" s="15">
        <v>2553</v>
      </c>
      <c r="F65" s="15">
        <f t="shared" si="38"/>
        <v>0</v>
      </c>
      <c r="G65" s="15">
        <v>0</v>
      </c>
      <c r="H65" s="15">
        <v>0</v>
      </c>
      <c r="I65" s="15">
        <f t="shared" si="37"/>
        <v>2553</v>
      </c>
      <c r="J65" s="24">
        <v>0</v>
      </c>
      <c r="K65" s="24">
        <f t="shared" si="40"/>
        <v>0</v>
      </c>
      <c r="L65" s="18">
        <f t="shared" si="39"/>
        <v>2553</v>
      </c>
      <c r="M65" s="25"/>
      <c r="N65" s="25"/>
      <c r="O65" s="26"/>
      <c r="P65" s="26"/>
    </row>
    <row r="66" spans="1:16" ht="40.5" hidden="1" customHeight="1" x14ac:dyDescent="0.25">
      <c r="A66" s="34"/>
      <c r="B66" s="56" t="s">
        <v>148</v>
      </c>
      <c r="C66" s="21"/>
      <c r="D66" s="24">
        <v>102535.52</v>
      </c>
      <c r="E66" s="15">
        <v>58432.73</v>
      </c>
      <c r="F66" s="15">
        <f t="shared" si="38"/>
        <v>44102.79</v>
      </c>
      <c r="G66" s="15">
        <v>6286.9</v>
      </c>
      <c r="H66" s="15">
        <v>3057.95</v>
      </c>
      <c r="I66" s="15">
        <f t="shared" si="37"/>
        <v>99306.57</v>
      </c>
      <c r="J66" s="24">
        <f>21023.36+2442.8</f>
        <v>23466.16</v>
      </c>
      <c r="K66" s="24">
        <f>J66*1.231-J66</f>
        <v>5420.6829600000019</v>
      </c>
      <c r="L66" s="18">
        <f t="shared" si="39"/>
        <v>104727.25296000001</v>
      </c>
      <c r="M66" s="25"/>
      <c r="N66" s="25"/>
      <c r="O66" s="26"/>
      <c r="P66" s="26"/>
    </row>
    <row r="67" spans="1:16" ht="40.5" hidden="1" customHeight="1" x14ac:dyDescent="0.25">
      <c r="A67" s="34"/>
      <c r="B67" s="56" t="s">
        <v>149</v>
      </c>
      <c r="C67" s="21"/>
      <c r="D67" s="24">
        <v>76973.759999999995</v>
      </c>
      <c r="E67" s="15">
        <v>25048.28</v>
      </c>
      <c r="F67" s="15">
        <f t="shared" si="38"/>
        <v>51925.479999999996</v>
      </c>
      <c r="G67" s="15">
        <v>0</v>
      </c>
      <c r="H67" s="15">
        <v>0</v>
      </c>
      <c r="I67" s="15">
        <f t="shared" si="37"/>
        <v>76973.759999999995</v>
      </c>
      <c r="J67" s="24">
        <v>27498.77</v>
      </c>
      <c r="K67" s="24">
        <f t="shared" ref="K67:K73" si="41">J67*1.231-J67</f>
        <v>6352.2158700000036</v>
      </c>
      <c r="L67" s="18">
        <f t="shared" si="39"/>
        <v>83325.975869999995</v>
      </c>
      <c r="M67" s="25"/>
      <c r="N67" s="25"/>
      <c r="O67" s="26"/>
      <c r="P67" s="26"/>
    </row>
    <row r="68" spans="1:16" ht="40.5" hidden="1" customHeight="1" x14ac:dyDescent="0.25">
      <c r="A68" s="34"/>
      <c r="B68" s="56" t="s">
        <v>150</v>
      </c>
      <c r="C68" s="21"/>
      <c r="D68" s="24">
        <v>256504.11</v>
      </c>
      <c r="E68" s="15">
        <v>128011.16</v>
      </c>
      <c r="F68" s="15">
        <f t="shared" si="38"/>
        <v>128492.94999999998</v>
      </c>
      <c r="G68" s="15">
        <v>0</v>
      </c>
      <c r="H68" s="15">
        <v>0</v>
      </c>
      <c r="I68" s="15">
        <f t="shared" si="37"/>
        <v>256504.11</v>
      </c>
      <c r="J68" s="24">
        <v>101460.51</v>
      </c>
      <c r="K68" s="24">
        <f t="shared" si="41"/>
        <v>23437.377810000005</v>
      </c>
      <c r="L68" s="18">
        <f t="shared" si="39"/>
        <v>279941.48780999996</v>
      </c>
      <c r="M68" s="25"/>
      <c r="N68" s="25"/>
      <c r="O68" s="26"/>
      <c r="P68" s="26"/>
    </row>
    <row r="69" spans="1:16" ht="40.5" hidden="1" customHeight="1" x14ac:dyDescent="0.25">
      <c r="A69" s="34"/>
      <c r="B69" s="56" t="s">
        <v>151</v>
      </c>
      <c r="C69" s="21"/>
      <c r="D69" s="24">
        <v>14876.82</v>
      </c>
      <c r="E69" s="15">
        <v>0</v>
      </c>
      <c r="F69" s="15">
        <f t="shared" si="38"/>
        <v>14876.82</v>
      </c>
      <c r="G69" s="15">
        <v>0</v>
      </c>
      <c r="H69" s="15">
        <v>0</v>
      </c>
      <c r="I69" s="15">
        <f t="shared" si="37"/>
        <v>14876.82</v>
      </c>
      <c r="J69" s="24">
        <v>11167.58</v>
      </c>
      <c r="K69" s="24">
        <f t="shared" si="41"/>
        <v>2579.7109800000017</v>
      </c>
      <c r="L69" s="18">
        <f t="shared" si="39"/>
        <v>17456.530980000003</v>
      </c>
      <c r="M69" s="25"/>
      <c r="N69" s="25"/>
      <c r="O69" s="26"/>
      <c r="P69" s="26"/>
    </row>
    <row r="70" spans="1:16" ht="40.5" hidden="1" customHeight="1" x14ac:dyDescent="0.25">
      <c r="A70" s="34"/>
      <c r="B70" s="56" t="s">
        <v>152</v>
      </c>
      <c r="C70" s="21"/>
      <c r="D70" s="24">
        <v>102436.13</v>
      </c>
      <c r="E70" s="15">
        <v>29095.79</v>
      </c>
      <c r="F70" s="15">
        <f t="shared" si="38"/>
        <v>73340.34</v>
      </c>
      <c r="G70" s="15">
        <v>0</v>
      </c>
      <c r="H70" s="15">
        <v>0</v>
      </c>
      <c r="I70" s="15">
        <f t="shared" si="37"/>
        <v>102436.13</v>
      </c>
      <c r="J70" s="24">
        <v>21268.04</v>
      </c>
      <c r="K70" s="24">
        <f t="shared" si="41"/>
        <v>4912.9172400000025</v>
      </c>
      <c r="L70" s="18">
        <f t="shared" si="39"/>
        <v>107349.04724000001</v>
      </c>
      <c r="M70" s="25"/>
      <c r="N70" s="25"/>
      <c r="O70" s="26"/>
      <c r="P70" s="26"/>
    </row>
    <row r="71" spans="1:16" ht="40.5" hidden="1" customHeight="1" x14ac:dyDescent="0.25">
      <c r="A71" s="34"/>
      <c r="B71" s="56" t="s">
        <v>153</v>
      </c>
      <c r="C71" s="21"/>
      <c r="D71" s="24">
        <v>104381.86</v>
      </c>
      <c r="E71" s="15">
        <v>49293.440000000002</v>
      </c>
      <c r="F71" s="15">
        <f t="shared" si="38"/>
        <v>55088.42</v>
      </c>
      <c r="G71" s="15">
        <v>0</v>
      </c>
      <c r="H71" s="15">
        <v>0</v>
      </c>
      <c r="I71" s="15">
        <f t="shared" si="37"/>
        <v>104381.86</v>
      </c>
      <c r="J71" s="24">
        <v>16434.830000000002</v>
      </c>
      <c r="K71" s="24">
        <f t="shared" si="41"/>
        <v>3796.4457300000031</v>
      </c>
      <c r="L71" s="18">
        <f t="shared" si="39"/>
        <v>108178.30573000001</v>
      </c>
      <c r="M71" s="25"/>
      <c r="N71" s="25"/>
      <c r="O71" s="26"/>
      <c r="P71" s="26"/>
    </row>
    <row r="72" spans="1:16" ht="60.75" hidden="1" customHeight="1" x14ac:dyDescent="0.25">
      <c r="A72" s="34"/>
      <c r="B72" s="56" t="s">
        <v>154</v>
      </c>
      <c r="C72" s="21"/>
      <c r="D72" s="24">
        <v>59245.79</v>
      </c>
      <c r="E72" s="15">
        <v>34771.370000000003</v>
      </c>
      <c r="F72" s="15">
        <f t="shared" si="38"/>
        <v>24474.42</v>
      </c>
      <c r="G72" s="15">
        <v>0</v>
      </c>
      <c r="H72" s="15">
        <v>0</v>
      </c>
      <c r="I72" s="15">
        <f t="shared" si="37"/>
        <v>59245.79</v>
      </c>
      <c r="J72" s="24">
        <v>4670.79</v>
      </c>
      <c r="K72" s="24">
        <f t="shared" si="41"/>
        <v>1078.9524900000006</v>
      </c>
      <c r="L72" s="18">
        <f t="shared" si="39"/>
        <v>60324.742490000004</v>
      </c>
      <c r="M72" s="25"/>
      <c r="N72" s="25"/>
      <c r="O72" s="26"/>
      <c r="P72" s="26"/>
    </row>
    <row r="73" spans="1:16" ht="60.75" hidden="1" customHeight="1" x14ac:dyDescent="0.25">
      <c r="A73" s="34"/>
      <c r="B73" s="56" t="s">
        <v>155</v>
      </c>
      <c r="C73" s="21"/>
      <c r="D73" s="24">
        <v>2834.92</v>
      </c>
      <c r="E73" s="15">
        <v>0</v>
      </c>
      <c r="F73" s="15">
        <f t="shared" si="38"/>
        <v>2834.92</v>
      </c>
      <c r="G73" s="15">
        <v>0</v>
      </c>
      <c r="H73" s="15">
        <v>0</v>
      </c>
      <c r="I73" s="15">
        <f t="shared" si="37"/>
        <v>2834.92</v>
      </c>
      <c r="J73" s="24">
        <v>826.8</v>
      </c>
      <c r="K73" s="24">
        <f t="shared" si="41"/>
        <v>190.99080000000004</v>
      </c>
      <c r="L73" s="18">
        <f t="shared" si="39"/>
        <v>3025.9108000000001</v>
      </c>
      <c r="M73" s="25"/>
      <c r="N73" s="25"/>
      <c r="O73" s="26"/>
      <c r="P73" s="26"/>
    </row>
    <row r="74" spans="1:16" ht="60.75" hidden="1" customHeight="1" x14ac:dyDescent="0.25">
      <c r="A74" s="34"/>
      <c r="B74" s="56" t="s">
        <v>156</v>
      </c>
      <c r="C74" s="21"/>
      <c r="D74" s="24">
        <v>29030.86</v>
      </c>
      <c r="E74" s="15">
        <v>12137.76</v>
      </c>
      <c r="F74" s="15">
        <f t="shared" si="38"/>
        <v>16893.099999999999</v>
      </c>
      <c r="G74" s="15">
        <v>0</v>
      </c>
      <c r="H74" s="15">
        <v>27567.7</v>
      </c>
      <c r="I74" s="15">
        <f t="shared" si="37"/>
        <v>56598.559999999998</v>
      </c>
      <c r="J74" s="24">
        <f>9322.64+4267.05</f>
        <v>13589.689999999999</v>
      </c>
      <c r="K74" s="24">
        <f>J74*1.231-J74</f>
        <v>3139.2183900000018</v>
      </c>
      <c r="L74" s="18">
        <f t="shared" si="39"/>
        <v>59737.778389999999</v>
      </c>
      <c r="M74" s="25"/>
      <c r="N74" s="25"/>
      <c r="O74" s="26"/>
      <c r="P74" s="26"/>
    </row>
    <row r="75" spans="1:16" ht="40.5" hidden="1" customHeight="1" x14ac:dyDescent="0.25">
      <c r="A75" s="34"/>
      <c r="B75" s="56" t="s">
        <v>157</v>
      </c>
      <c r="C75" s="21"/>
      <c r="D75" s="24">
        <v>13164.09</v>
      </c>
      <c r="E75" s="15">
        <v>13164.09</v>
      </c>
      <c r="F75" s="15">
        <f t="shared" si="38"/>
        <v>0</v>
      </c>
      <c r="G75" s="15">
        <v>0</v>
      </c>
      <c r="H75" s="15">
        <v>0</v>
      </c>
      <c r="I75" s="15">
        <f t="shared" si="37"/>
        <v>13164.09</v>
      </c>
      <c r="J75" s="24">
        <v>0</v>
      </c>
      <c r="K75" s="24">
        <f t="shared" ref="K75:K76" si="42">J75*1.231-J75</f>
        <v>0</v>
      </c>
      <c r="L75" s="18">
        <f t="shared" si="39"/>
        <v>13164.09</v>
      </c>
      <c r="M75" s="25"/>
      <c r="N75" s="25"/>
      <c r="O75" s="26"/>
      <c r="P75" s="26"/>
    </row>
    <row r="76" spans="1:16" ht="49.5" hidden="1" customHeight="1" x14ac:dyDescent="0.25">
      <c r="A76" s="34"/>
      <c r="B76" s="56" t="s">
        <v>158</v>
      </c>
      <c r="C76" s="21"/>
      <c r="D76" s="24">
        <v>548.5</v>
      </c>
      <c r="E76" s="15">
        <v>0</v>
      </c>
      <c r="F76" s="15">
        <f t="shared" si="38"/>
        <v>548.5</v>
      </c>
      <c r="G76" s="15">
        <v>0</v>
      </c>
      <c r="H76" s="15">
        <v>0</v>
      </c>
      <c r="I76" s="15">
        <f t="shared" si="37"/>
        <v>548.5</v>
      </c>
      <c r="J76" s="24">
        <v>111.83</v>
      </c>
      <c r="K76" s="24">
        <f t="shared" si="42"/>
        <v>25.832730000000012</v>
      </c>
      <c r="L76" s="18">
        <f t="shared" si="39"/>
        <v>574.33272999999997</v>
      </c>
      <c r="M76" s="25"/>
      <c r="N76" s="25"/>
      <c r="O76" s="26"/>
      <c r="P76" s="26"/>
    </row>
    <row r="77" spans="1:16" ht="27" hidden="1" customHeight="1" x14ac:dyDescent="0.25">
      <c r="A77" s="34"/>
      <c r="B77" s="55" t="s">
        <v>159</v>
      </c>
      <c r="C77" s="21"/>
      <c r="D77" s="21">
        <f>SUM(D78:D81)</f>
        <v>64510.079999999994</v>
      </c>
      <c r="E77" s="21">
        <f>SUM(E78:E81)</f>
        <v>44072.7</v>
      </c>
      <c r="F77" s="23">
        <f>D77-E77</f>
        <v>20437.379999999997</v>
      </c>
      <c r="G77" s="23">
        <f>G78+G79+G80+G81</f>
        <v>1724.1</v>
      </c>
      <c r="H77" s="23">
        <f>H78+H79+H80+H81</f>
        <v>7313.76</v>
      </c>
      <c r="I77" s="23">
        <f t="shared" si="37"/>
        <v>70099.739999999991</v>
      </c>
      <c r="J77" s="18">
        <f>J78+J79+J80+J81</f>
        <v>17615.099999999999</v>
      </c>
      <c r="K77" s="18">
        <f>K78+K79+K80+K81</f>
        <v>4069.0880999999999</v>
      </c>
      <c r="L77" s="18">
        <f t="shared" si="39"/>
        <v>74168.828099999984</v>
      </c>
      <c r="M77" s="25"/>
      <c r="N77" s="25"/>
      <c r="O77" s="26"/>
      <c r="P77" s="26"/>
    </row>
    <row r="78" spans="1:16" ht="27.75" hidden="1" customHeight="1" x14ac:dyDescent="0.25">
      <c r="A78" s="34"/>
      <c r="B78" s="56" t="s">
        <v>160</v>
      </c>
      <c r="C78" s="21"/>
      <c r="D78" s="24">
        <v>32372.01</v>
      </c>
      <c r="E78" s="15">
        <v>19791.12</v>
      </c>
      <c r="F78" s="15">
        <f t="shared" si="38"/>
        <v>12580.89</v>
      </c>
      <c r="G78" s="15">
        <v>1724.1</v>
      </c>
      <c r="H78" s="15">
        <v>7313.76</v>
      </c>
      <c r="I78" s="15">
        <f t="shared" si="37"/>
        <v>37961.67</v>
      </c>
      <c r="J78" s="24">
        <f>13695.15-1034.22+1216.65</f>
        <v>13877.58</v>
      </c>
      <c r="K78" s="24">
        <f>J78*1.231-J78</f>
        <v>3205.7209800000001</v>
      </c>
      <c r="L78" s="18">
        <f t="shared" si="39"/>
        <v>41167.390979999996</v>
      </c>
      <c r="M78" s="25"/>
      <c r="N78" s="25"/>
      <c r="O78" s="26"/>
      <c r="P78" s="26"/>
    </row>
    <row r="79" spans="1:16" ht="27.75" hidden="1" customHeight="1" x14ac:dyDescent="0.25">
      <c r="A79" s="34"/>
      <c r="B79" s="56" t="s">
        <v>161</v>
      </c>
      <c r="C79" s="21"/>
      <c r="D79" s="24">
        <v>22350.51</v>
      </c>
      <c r="E79" s="15">
        <v>22350.51</v>
      </c>
      <c r="F79" s="15">
        <f t="shared" si="38"/>
        <v>0</v>
      </c>
      <c r="G79" s="15">
        <v>0</v>
      </c>
      <c r="H79" s="15">
        <v>0</v>
      </c>
      <c r="I79" s="15">
        <f t="shared" si="37"/>
        <v>22350.51</v>
      </c>
      <c r="J79" s="24">
        <v>0</v>
      </c>
      <c r="K79" s="24">
        <f t="shared" ref="K79:K81" si="43">J79*1.231-J79</f>
        <v>0</v>
      </c>
      <c r="L79" s="18">
        <f t="shared" si="39"/>
        <v>22350.51</v>
      </c>
      <c r="M79" s="25"/>
      <c r="N79" s="25"/>
      <c r="O79" s="26"/>
      <c r="P79" s="26"/>
    </row>
    <row r="80" spans="1:16" ht="40.5" hidden="1" customHeight="1" x14ac:dyDescent="0.25">
      <c r="A80" s="34"/>
      <c r="B80" s="56" t="s">
        <v>162</v>
      </c>
      <c r="C80" s="21"/>
      <c r="D80" s="24">
        <v>6714</v>
      </c>
      <c r="E80" s="15">
        <v>1931.07</v>
      </c>
      <c r="F80" s="15">
        <f t="shared" si="38"/>
        <v>4782.93</v>
      </c>
      <c r="G80" s="15">
        <v>0</v>
      </c>
      <c r="H80" s="15">
        <v>0</v>
      </c>
      <c r="I80" s="15">
        <f t="shared" si="37"/>
        <v>6714</v>
      </c>
      <c r="J80" s="24">
        <v>2025.84</v>
      </c>
      <c r="K80" s="24">
        <f t="shared" si="43"/>
        <v>467.96904000000018</v>
      </c>
      <c r="L80" s="18">
        <f t="shared" si="39"/>
        <v>7181.9690399999999</v>
      </c>
      <c r="M80" s="25"/>
      <c r="N80" s="25"/>
      <c r="O80" s="26"/>
      <c r="P80" s="26"/>
    </row>
    <row r="81" spans="1:16" ht="40.5" hidden="1" customHeight="1" x14ac:dyDescent="0.25">
      <c r="A81" s="34"/>
      <c r="B81" s="56" t="s">
        <v>163</v>
      </c>
      <c r="C81" s="21"/>
      <c r="D81" s="24">
        <v>3073.56</v>
      </c>
      <c r="E81" s="15">
        <v>0</v>
      </c>
      <c r="F81" s="15">
        <f t="shared" si="38"/>
        <v>3073.56</v>
      </c>
      <c r="G81" s="15">
        <v>0</v>
      </c>
      <c r="H81" s="15">
        <v>0</v>
      </c>
      <c r="I81" s="15">
        <f t="shared" si="37"/>
        <v>3073.56</v>
      </c>
      <c r="J81" s="24">
        <v>1711.68</v>
      </c>
      <c r="K81" s="24">
        <f t="shared" si="43"/>
        <v>395.39808000000016</v>
      </c>
      <c r="L81" s="18">
        <f t="shared" si="39"/>
        <v>3468.9580800000003</v>
      </c>
      <c r="M81" s="25"/>
      <c r="N81" s="25"/>
      <c r="O81" s="26"/>
      <c r="P81" s="26"/>
    </row>
    <row r="82" spans="1:16" ht="40.5" hidden="1" customHeight="1" x14ac:dyDescent="0.25">
      <c r="A82" s="34"/>
      <c r="B82" s="55" t="s">
        <v>164</v>
      </c>
      <c r="C82" s="21"/>
      <c r="D82" s="21">
        <f>SUM(D83:D86)</f>
        <v>196530.08</v>
      </c>
      <c r="E82" s="21">
        <f>SUM(E83:E86)</f>
        <v>90558.970000000016</v>
      </c>
      <c r="F82" s="23">
        <f t="shared" si="38"/>
        <v>105971.10999999997</v>
      </c>
      <c r="G82" s="23">
        <f>G83+G84+G85+G86</f>
        <v>19212.05</v>
      </c>
      <c r="H82" s="23">
        <f>H83+H84+H85+H86</f>
        <v>38584.129999999997</v>
      </c>
      <c r="I82" s="23">
        <f t="shared" si="37"/>
        <v>215902.16</v>
      </c>
      <c r="J82" s="18">
        <f>J83+J84+J85+J86</f>
        <v>77706.260000000009</v>
      </c>
      <c r="K82" s="18">
        <f>K83+K84+K85+K86</f>
        <v>17950.14606000001</v>
      </c>
      <c r="L82" s="18">
        <f t="shared" si="39"/>
        <v>233852.30606</v>
      </c>
      <c r="M82" s="25"/>
      <c r="N82" s="25"/>
      <c r="O82" s="26"/>
      <c r="P82" s="26"/>
    </row>
    <row r="83" spans="1:16" ht="27.75" hidden="1" customHeight="1" x14ac:dyDescent="0.25">
      <c r="A83" s="34"/>
      <c r="B83" s="56" t="s">
        <v>165</v>
      </c>
      <c r="C83" s="21"/>
      <c r="D83" s="24">
        <v>93032.68</v>
      </c>
      <c r="E83" s="15">
        <v>42771.8</v>
      </c>
      <c r="F83" s="15">
        <f t="shared" si="38"/>
        <v>50260.87999999999</v>
      </c>
      <c r="G83" s="15">
        <v>19212.05</v>
      </c>
      <c r="H83" s="15">
        <v>38584.129999999997</v>
      </c>
      <c r="I83" s="15">
        <f t="shared" si="37"/>
        <v>112404.75999999998</v>
      </c>
      <c r="J83" s="24">
        <f>34043.98-14238.63+23653.7</f>
        <v>43459.05</v>
      </c>
      <c r="K83" s="24">
        <f>J83*1.231-J83</f>
        <v>10039.040550000005</v>
      </c>
      <c r="L83" s="18">
        <f t="shared" si="39"/>
        <v>122443.80054999999</v>
      </c>
      <c r="M83" s="25"/>
      <c r="N83" s="25"/>
      <c r="O83" s="26"/>
      <c r="P83" s="26"/>
    </row>
    <row r="84" spans="1:16" ht="27.75" hidden="1" customHeight="1" x14ac:dyDescent="0.25">
      <c r="A84" s="34"/>
      <c r="B84" s="56" t="s">
        <v>166</v>
      </c>
      <c r="C84" s="21"/>
      <c r="D84" s="24">
        <v>43771.21</v>
      </c>
      <c r="E84" s="15">
        <v>43771.21</v>
      </c>
      <c r="F84" s="15">
        <f t="shared" si="38"/>
        <v>0</v>
      </c>
      <c r="G84" s="15">
        <v>0</v>
      </c>
      <c r="H84" s="15">
        <v>0</v>
      </c>
      <c r="I84" s="15">
        <f t="shared" si="37"/>
        <v>43771.21</v>
      </c>
      <c r="J84" s="24">
        <v>0</v>
      </c>
      <c r="K84" s="24">
        <f t="shared" ref="K84:K87" si="44">J84*1.231-J84</f>
        <v>0</v>
      </c>
      <c r="L84" s="18">
        <f t="shared" si="39"/>
        <v>43771.21</v>
      </c>
      <c r="M84" s="25"/>
      <c r="N84" s="25"/>
      <c r="O84" s="26"/>
      <c r="P84" s="26"/>
    </row>
    <row r="85" spans="1:16" ht="40.5" hidden="1" customHeight="1" x14ac:dyDescent="0.25">
      <c r="A85" s="34"/>
      <c r="B85" s="56" t="s">
        <v>167</v>
      </c>
      <c r="C85" s="21"/>
      <c r="D85" s="24">
        <v>15077.21</v>
      </c>
      <c r="E85" s="15">
        <v>4015.96</v>
      </c>
      <c r="F85" s="15">
        <f t="shared" si="38"/>
        <v>11061.25</v>
      </c>
      <c r="G85" s="15">
        <v>0</v>
      </c>
      <c r="H85" s="15">
        <v>0</v>
      </c>
      <c r="I85" s="15">
        <f t="shared" si="37"/>
        <v>15077.21</v>
      </c>
      <c r="J85" s="24">
        <v>8058</v>
      </c>
      <c r="K85" s="24">
        <f t="shared" si="44"/>
        <v>1861.398000000001</v>
      </c>
      <c r="L85" s="18">
        <f t="shared" si="39"/>
        <v>16938.608</v>
      </c>
      <c r="M85" s="25"/>
      <c r="N85" s="25"/>
      <c r="O85" s="26"/>
      <c r="P85" s="26"/>
    </row>
    <row r="86" spans="1:16" ht="40.5" hidden="1" customHeight="1" x14ac:dyDescent="0.25">
      <c r="A86" s="34"/>
      <c r="B86" s="56" t="s">
        <v>168</v>
      </c>
      <c r="C86" s="21"/>
      <c r="D86" s="24">
        <v>44648.98</v>
      </c>
      <c r="E86" s="15">
        <v>0</v>
      </c>
      <c r="F86" s="15">
        <f t="shared" si="38"/>
        <v>44648.98</v>
      </c>
      <c r="G86" s="15">
        <v>0</v>
      </c>
      <c r="H86" s="15">
        <v>0</v>
      </c>
      <c r="I86" s="15">
        <f t="shared" si="37"/>
        <v>44648.98</v>
      </c>
      <c r="J86" s="24">
        <v>26189.21</v>
      </c>
      <c r="K86" s="24">
        <f t="shared" si="44"/>
        <v>6049.7075100000038</v>
      </c>
      <c r="L86" s="18">
        <f t="shared" si="39"/>
        <v>50698.687510000003</v>
      </c>
      <c r="M86" s="25"/>
      <c r="N86" s="25"/>
      <c r="O86" s="26"/>
      <c r="P86" s="26"/>
    </row>
    <row r="87" spans="1:16" ht="40.5" hidden="1" customHeight="1" x14ac:dyDescent="0.25">
      <c r="A87" s="34"/>
      <c r="B87" s="55" t="s">
        <v>169</v>
      </c>
      <c r="C87" s="21"/>
      <c r="D87" s="21">
        <f>SUM(D88:D91)</f>
        <v>199921.77</v>
      </c>
      <c r="E87" s="21">
        <f>SUM(E88:E91)</f>
        <v>91553.430000000008</v>
      </c>
      <c r="F87" s="23">
        <f t="shared" si="38"/>
        <v>108368.33999999998</v>
      </c>
      <c r="G87" s="23">
        <f>G88+G89+G90+G91</f>
        <v>19212.05</v>
      </c>
      <c r="H87" s="23">
        <f>H88+H89+H90+H91</f>
        <v>38584.129999999997</v>
      </c>
      <c r="I87" s="23">
        <f t="shared" si="37"/>
        <v>219293.85</v>
      </c>
      <c r="J87" s="18">
        <f>J88+J89+J90+J91</f>
        <v>79716.94</v>
      </c>
      <c r="K87" s="18">
        <f t="shared" si="44"/>
        <v>18414.613140000001</v>
      </c>
      <c r="L87" s="18">
        <f t="shared" si="39"/>
        <v>237708.46314000001</v>
      </c>
      <c r="M87" s="25"/>
      <c r="N87" s="25"/>
      <c r="O87" s="26"/>
      <c r="P87" s="26"/>
    </row>
    <row r="88" spans="1:16" ht="27.75" hidden="1" customHeight="1" x14ac:dyDescent="0.25">
      <c r="A88" s="34"/>
      <c r="B88" s="56" t="s">
        <v>170</v>
      </c>
      <c r="C88" s="21"/>
      <c r="D88" s="24">
        <v>93032.68</v>
      </c>
      <c r="E88" s="15">
        <v>42771.8</v>
      </c>
      <c r="F88" s="15">
        <f t="shared" si="38"/>
        <v>50260.87999999999</v>
      </c>
      <c r="G88" s="15">
        <v>19212.05</v>
      </c>
      <c r="H88" s="15">
        <v>38584.129999999997</v>
      </c>
      <c r="I88" s="15">
        <f t="shared" si="37"/>
        <v>112404.75999999998</v>
      </c>
      <c r="J88" s="24">
        <f>34043.98-14238.63+23653.7</f>
        <v>43459.05</v>
      </c>
      <c r="K88" s="24">
        <f>J88*1.231-J88</f>
        <v>10039.040550000005</v>
      </c>
      <c r="L88" s="18">
        <f t="shared" si="39"/>
        <v>122443.80054999999</v>
      </c>
      <c r="M88" s="25"/>
      <c r="N88" s="25"/>
      <c r="O88" s="26"/>
      <c r="P88" s="26"/>
    </row>
    <row r="89" spans="1:16" ht="27.75" hidden="1" customHeight="1" x14ac:dyDescent="0.25">
      <c r="A89" s="34"/>
      <c r="B89" s="56" t="s">
        <v>171</v>
      </c>
      <c r="C89" s="21"/>
      <c r="D89" s="24">
        <v>43771.21</v>
      </c>
      <c r="E89" s="15">
        <v>43771.21</v>
      </c>
      <c r="F89" s="15">
        <f t="shared" si="38"/>
        <v>0</v>
      </c>
      <c r="G89" s="15">
        <v>0</v>
      </c>
      <c r="H89" s="15">
        <v>0</v>
      </c>
      <c r="I89" s="15">
        <f t="shared" si="37"/>
        <v>43771.21</v>
      </c>
      <c r="J89" s="24">
        <v>0</v>
      </c>
      <c r="K89" s="24">
        <f t="shared" ref="K89:K91" si="45">J89*1.231-J89</f>
        <v>0</v>
      </c>
      <c r="L89" s="18">
        <f t="shared" si="39"/>
        <v>43771.21</v>
      </c>
      <c r="M89" s="25"/>
      <c r="N89" s="25"/>
      <c r="O89" s="26"/>
      <c r="P89" s="26"/>
    </row>
    <row r="90" spans="1:16" ht="40.5" hidden="1" customHeight="1" x14ac:dyDescent="0.25">
      <c r="A90" s="34"/>
      <c r="B90" s="56" t="s">
        <v>172</v>
      </c>
      <c r="C90" s="21"/>
      <c r="D90" s="24">
        <v>17178.41</v>
      </c>
      <c r="E90" s="15">
        <v>5010.42</v>
      </c>
      <c r="F90" s="15">
        <f t="shared" si="38"/>
        <v>12167.99</v>
      </c>
      <c r="G90" s="15">
        <v>0</v>
      </c>
      <c r="H90" s="15">
        <v>0</v>
      </c>
      <c r="I90" s="15">
        <f t="shared" si="37"/>
        <v>17178.41</v>
      </c>
      <c r="J90" s="24">
        <v>8930.68</v>
      </c>
      <c r="K90" s="24">
        <f t="shared" si="45"/>
        <v>2062.9870800000008</v>
      </c>
      <c r="L90" s="18">
        <f t="shared" si="39"/>
        <v>19241.397080000002</v>
      </c>
      <c r="M90" s="25"/>
      <c r="N90" s="25"/>
      <c r="O90" s="26"/>
      <c r="P90" s="26"/>
    </row>
    <row r="91" spans="1:16" ht="13.5" hidden="1" customHeight="1" x14ac:dyDescent="0.25">
      <c r="A91" s="34"/>
      <c r="B91" s="56" t="s">
        <v>173</v>
      </c>
      <c r="C91" s="21"/>
      <c r="D91" s="24">
        <v>45939.47</v>
      </c>
      <c r="E91" s="15">
        <v>0</v>
      </c>
      <c r="F91" s="15">
        <f t="shared" si="38"/>
        <v>45939.47</v>
      </c>
      <c r="G91" s="15">
        <v>0</v>
      </c>
      <c r="H91" s="15">
        <v>0</v>
      </c>
      <c r="I91" s="15">
        <f t="shared" si="37"/>
        <v>45939.47</v>
      </c>
      <c r="J91" s="24">
        <v>27327.21</v>
      </c>
      <c r="K91" s="24">
        <f t="shared" si="45"/>
        <v>6312.5855100000044</v>
      </c>
      <c r="L91" s="18">
        <f t="shared" si="39"/>
        <v>52252.055510000006</v>
      </c>
      <c r="M91" s="25"/>
      <c r="N91" s="25"/>
      <c r="O91" s="26"/>
      <c r="P91" s="26"/>
    </row>
    <row r="92" spans="1:16" ht="27" x14ac:dyDescent="0.25">
      <c r="A92" s="34" t="s">
        <v>23</v>
      </c>
      <c r="B92" s="3" t="s">
        <v>24</v>
      </c>
      <c r="C92" s="21">
        <v>8049.6</v>
      </c>
      <c r="D92" s="21">
        <v>5999.2</v>
      </c>
      <c r="E92" s="23">
        <v>1669.7</v>
      </c>
      <c r="F92" s="23">
        <f>D92-E92</f>
        <v>4329.5</v>
      </c>
      <c r="G92" s="23">
        <v>0</v>
      </c>
      <c r="H92" s="23">
        <v>0</v>
      </c>
      <c r="I92" s="23">
        <f>E92+F92-G92+H92</f>
        <v>5999.2</v>
      </c>
      <c r="J92" s="18">
        <v>140.30000000000001</v>
      </c>
      <c r="K92" s="18">
        <f>J92*1.231-J92</f>
        <v>32.409300000000002</v>
      </c>
      <c r="L92" s="18">
        <f t="shared" si="39"/>
        <v>6031.6093000000001</v>
      </c>
      <c r="M92" s="18">
        <f>L92/M6</f>
        <v>1220.9735425101214</v>
      </c>
      <c r="N92" s="18">
        <f>L92*19%</f>
        <v>1146.0057670000001</v>
      </c>
      <c r="O92" s="18">
        <f>L92+N92</f>
        <v>7177.6150670000006</v>
      </c>
      <c r="P92" s="18">
        <f>O92/M6</f>
        <v>1452.9585155870445</v>
      </c>
    </row>
    <row r="93" spans="1:16" ht="81" x14ac:dyDescent="0.25">
      <c r="A93" s="34" t="s">
        <v>25</v>
      </c>
      <c r="B93" s="3" t="s">
        <v>26</v>
      </c>
      <c r="C93" s="21">
        <v>80496</v>
      </c>
      <c r="D93" s="23">
        <v>72455.990000000005</v>
      </c>
      <c r="E93" s="18">
        <v>0</v>
      </c>
      <c r="F93" s="18">
        <f>D93-E93</f>
        <v>72455.990000000005</v>
      </c>
      <c r="G93" s="18">
        <v>0</v>
      </c>
      <c r="H93" s="18">
        <v>0</v>
      </c>
      <c r="I93" s="23">
        <f t="shared" si="37"/>
        <v>72455.990000000005</v>
      </c>
      <c r="J93" s="18">
        <v>0</v>
      </c>
      <c r="K93" s="18">
        <v>0</v>
      </c>
      <c r="L93" s="18">
        <f t="shared" si="39"/>
        <v>72455.990000000005</v>
      </c>
      <c r="M93" s="18">
        <f>L93/M6</f>
        <v>14667.204453441296</v>
      </c>
      <c r="N93" s="18">
        <f t="shared" ref="N93:N96" si="46">L93*19%</f>
        <v>13766.638100000002</v>
      </c>
      <c r="O93" s="18">
        <f t="shared" ref="O93:O98" si="47">L93+N93</f>
        <v>86222.628100000002</v>
      </c>
      <c r="P93" s="18">
        <f>O93/M6</f>
        <v>17453.973299595142</v>
      </c>
    </row>
    <row r="94" spans="1:16" ht="27.75" hidden="1" customHeight="1" x14ac:dyDescent="0.25">
      <c r="A94" s="34"/>
      <c r="B94" s="3" t="s">
        <v>178</v>
      </c>
      <c r="C94" s="21"/>
      <c r="D94" s="23"/>
      <c r="E94" s="24">
        <v>0</v>
      </c>
      <c r="F94" s="57"/>
      <c r="G94" s="57"/>
      <c r="H94" s="57"/>
      <c r="I94" s="23">
        <f t="shared" si="37"/>
        <v>0</v>
      </c>
      <c r="J94" s="18"/>
      <c r="K94" s="18"/>
      <c r="L94" s="18">
        <f t="shared" si="39"/>
        <v>0</v>
      </c>
      <c r="M94" s="18" t="e">
        <f t="shared" ref="M94:M95" si="48">L94/M7</f>
        <v>#DIV/0!</v>
      </c>
      <c r="N94" s="18">
        <f t="shared" si="46"/>
        <v>0</v>
      </c>
      <c r="O94" s="18">
        <f t="shared" si="47"/>
        <v>0</v>
      </c>
      <c r="P94" s="18" t="e">
        <f t="shared" ref="P94:P95" si="49">O94/M8</f>
        <v>#VALUE!</v>
      </c>
    </row>
    <row r="95" spans="1:16" ht="27.75" hidden="1" customHeight="1" x14ac:dyDescent="0.25">
      <c r="A95" s="34"/>
      <c r="B95" s="3" t="s">
        <v>179</v>
      </c>
      <c r="C95" s="21"/>
      <c r="D95" s="23"/>
      <c r="E95" s="24">
        <v>0</v>
      </c>
      <c r="F95" s="57"/>
      <c r="G95" s="57"/>
      <c r="H95" s="57"/>
      <c r="I95" s="23">
        <f t="shared" si="37"/>
        <v>0</v>
      </c>
      <c r="J95" s="18"/>
      <c r="K95" s="18"/>
      <c r="L95" s="18">
        <f t="shared" si="39"/>
        <v>0</v>
      </c>
      <c r="M95" s="18" t="e">
        <f t="shared" si="48"/>
        <v>#VALUE!</v>
      </c>
      <c r="N95" s="18">
        <f t="shared" si="46"/>
        <v>0</v>
      </c>
      <c r="O95" s="18">
        <f t="shared" si="47"/>
        <v>0</v>
      </c>
      <c r="P95" s="18">
        <f t="shared" si="49"/>
        <v>0</v>
      </c>
    </row>
    <row r="96" spans="1:16" ht="54" x14ac:dyDescent="0.25">
      <c r="A96" s="34" t="s">
        <v>27</v>
      </c>
      <c r="B96" s="3" t="s">
        <v>28</v>
      </c>
      <c r="C96" s="18">
        <v>0</v>
      </c>
      <c r="D96" s="23">
        <v>0</v>
      </c>
      <c r="E96" s="18">
        <v>0</v>
      </c>
      <c r="F96" s="18">
        <f>D96-E96</f>
        <v>0</v>
      </c>
      <c r="G96" s="18">
        <v>0</v>
      </c>
      <c r="H96" s="18">
        <v>0</v>
      </c>
      <c r="I96" s="23">
        <f t="shared" si="37"/>
        <v>0</v>
      </c>
      <c r="J96" s="18">
        <v>0</v>
      </c>
      <c r="K96" s="18">
        <v>0</v>
      </c>
      <c r="L96" s="18">
        <f t="shared" si="39"/>
        <v>0</v>
      </c>
      <c r="M96" s="18">
        <f>L96/M6</f>
        <v>0</v>
      </c>
      <c r="N96" s="18">
        <f t="shared" si="46"/>
        <v>0</v>
      </c>
      <c r="O96" s="18">
        <f t="shared" si="47"/>
        <v>0</v>
      </c>
      <c r="P96" s="18">
        <f>O96/M6</f>
        <v>0</v>
      </c>
    </row>
    <row r="97" spans="1:19" ht="27" x14ac:dyDescent="0.25">
      <c r="A97" s="34" t="s">
        <v>29</v>
      </c>
      <c r="B97" s="3" t="s">
        <v>30</v>
      </c>
      <c r="C97" s="18">
        <v>309614</v>
      </c>
      <c r="D97" s="23">
        <v>326046.96000000002</v>
      </c>
      <c r="E97" s="18">
        <v>0</v>
      </c>
      <c r="F97" s="18">
        <f>D97-E97</f>
        <v>326046.96000000002</v>
      </c>
      <c r="G97" s="18">
        <v>0</v>
      </c>
      <c r="H97" s="18">
        <v>0</v>
      </c>
      <c r="I97" s="23">
        <f t="shared" si="37"/>
        <v>326046.96000000002</v>
      </c>
      <c r="J97" s="18">
        <v>0</v>
      </c>
      <c r="K97" s="18">
        <v>0</v>
      </c>
      <c r="L97" s="18">
        <f t="shared" si="39"/>
        <v>326046.96000000002</v>
      </c>
      <c r="M97" s="18">
        <f>L97/M6</f>
        <v>66001.408906882585</v>
      </c>
      <c r="N97" s="18">
        <f>L97*19%</f>
        <v>61948.922400000003</v>
      </c>
      <c r="O97" s="18">
        <f t="shared" si="47"/>
        <v>387995.8824</v>
      </c>
      <c r="P97" s="18">
        <f>O97/M6</f>
        <v>78541.676599190279</v>
      </c>
    </row>
    <row r="98" spans="1:19" ht="27" x14ac:dyDescent="0.25">
      <c r="A98" s="34" t="s">
        <v>31</v>
      </c>
      <c r="B98" s="35" t="s">
        <v>32</v>
      </c>
      <c r="C98" s="18">
        <v>0</v>
      </c>
      <c r="D98" s="23">
        <v>0</v>
      </c>
      <c r="E98" s="18">
        <v>0</v>
      </c>
      <c r="F98" s="18">
        <f>D98-E98</f>
        <v>0</v>
      </c>
      <c r="G98" s="18">
        <v>0</v>
      </c>
      <c r="H98" s="18">
        <v>0</v>
      </c>
      <c r="I98" s="23">
        <f t="shared" si="37"/>
        <v>0</v>
      </c>
      <c r="J98" s="18">
        <v>0</v>
      </c>
      <c r="K98" s="18">
        <v>0</v>
      </c>
      <c r="L98" s="18">
        <f t="shared" si="39"/>
        <v>0</v>
      </c>
      <c r="M98" s="18">
        <f>L98/M6</f>
        <v>0</v>
      </c>
      <c r="N98" s="18">
        <f t="shared" ref="N98" si="50">K98+M98</f>
        <v>0</v>
      </c>
      <c r="O98" s="18">
        <f t="shared" si="47"/>
        <v>0</v>
      </c>
      <c r="P98" s="18">
        <f>O98/M6</f>
        <v>0</v>
      </c>
    </row>
    <row r="99" spans="1:19" ht="28.5" x14ac:dyDescent="0.25">
      <c r="A99" s="76" t="s">
        <v>33</v>
      </c>
      <c r="B99" s="76"/>
      <c r="C99" s="33">
        <f t="shared" ref="C99:I99" si="51">C54+C92+C93+C96+C97+C98</f>
        <v>2109804.38</v>
      </c>
      <c r="D99" s="33">
        <f t="shared" si="51"/>
        <v>2263071.5100000007</v>
      </c>
      <c r="E99" s="58">
        <f t="shared" si="51"/>
        <v>775488.74999999988</v>
      </c>
      <c r="F99" s="33">
        <f t="shared" si="51"/>
        <v>1487582.7600000005</v>
      </c>
      <c r="G99" s="33">
        <f t="shared" si="51"/>
        <v>46435.1</v>
      </c>
      <c r="H99" s="33">
        <f t="shared" si="51"/>
        <v>115107.67000000001</v>
      </c>
      <c r="I99" s="33">
        <f t="shared" si="51"/>
        <v>2331744.08</v>
      </c>
      <c r="J99" s="33">
        <f t="shared" ref="J99:K99" si="52">J54+J92+J93+J96+J97+J98</f>
        <v>535038.16</v>
      </c>
      <c r="K99" s="33">
        <f t="shared" si="52"/>
        <v>123593.81496000003</v>
      </c>
      <c r="L99" s="33">
        <f>L54+L92+L93+L96+L97+L98</f>
        <v>2455337.8949599997</v>
      </c>
      <c r="M99" s="33">
        <f t="shared" ref="M99:P99" si="53">M54+M92+M93+M96+M97+M98</f>
        <v>497031.96254251007</v>
      </c>
      <c r="N99" s="33">
        <f t="shared" si="53"/>
        <v>466514.20004239999</v>
      </c>
      <c r="O99" s="33">
        <f t="shared" si="53"/>
        <v>2921852.0950023998</v>
      </c>
      <c r="P99" s="33">
        <f t="shared" si="53"/>
        <v>591468.03542558686</v>
      </c>
      <c r="S99" s="11"/>
    </row>
    <row r="100" spans="1:19" ht="27.75" customHeight="1" x14ac:dyDescent="0.25">
      <c r="A100" s="73" t="s">
        <v>62</v>
      </c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S100" s="11"/>
    </row>
    <row r="101" spans="1:19" ht="27.75" customHeight="1" x14ac:dyDescent="0.25">
      <c r="A101" s="73" t="s">
        <v>61</v>
      </c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</row>
    <row r="102" spans="1:19" ht="27" x14ac:dyDescent="0.25">
      <c r="A102" s="34" t="s">
        <v>34</v>
      </c>
      <c r="B102" s="35" t="s">
        <v>35</v>
      </c>
      <c r="C102" s="18">
        <f>C103+C104</f>
        <v>63318.6</v>
      </c>
      <c r="D102" s="18">
        <f t="shared" ref="D102:H102" si="54">D103+D104</f>
        <v>50206.369999999995</v>
      </c>
      <c r="E102" s="18">
        <f t="shared" si="54"/>
        <v>24715.119999999999</v>
      </c>
      <c r="F102" s="18">
        <f t="shared" si="54"/>
        <v>25491.25</v>
      </c>
      <c r="G102" s="18">
        <f t="shared" si="54"/>
        <v>0</v>
      </c>
      <c r="H102" s="18">
        <f t="shared" si="54"/>
        <v>0</v>
      </c>
      <c r="I102" s="18">
        <f>E102+F102-G102+H102</f>
        <v>50206.369999999995</v>
      </c>
      <c r="J102" s="18">
        <f>J103+J104</f>
        <v>7849.81</v>
      </c>
      <c r="K102" s="18">
        <f>K103+K104</f>
        <v>1813.3061100000009</v>
      </c>
      <c r="L102" s="18">
        <f>L103+L104</f>
        <v>52019.67611</v>
      </c>
      <c r="M102" s="18">
        <f>L102/M6</f>
        <v>10530.298807692307</v>
      </c>
      <c r="N102" s="18">
        <f>L102*19%</f>
        <v>9883.7384609000001</v>
      </c>
      <c r="O102" s="18">
        <f>L102+N102</f>
        <v>61903.4145709</v>
      </c>
      <c r="P102" s="18">
        <f>O102/M6</f>
        <v>12531.055581153845</v>
      </c>
    </row>
    <row r="103" spans="1:19" ht="55.5" x14ac:dyDescent="0.25">
      <c r="A103" s="59" t="s">
        <v>36</v>
      </c>
      <c r="B103" s="1" t="s">
        <v>37</v>
      </c>
      <c r="C103" s="60">
        <v>16800</v>
      </c>
      <c r="D103" s="15">
        <f>14791.23+1113.32</f>
        <v>15904.55</v>
      </c>
      <c r="E103" s="19">
        <v>337.48</v>
      </c>
      <c r="F103" s="24">
        <f>D103-E103</f>
        <v>15567.07</v>
      </c>
      <c r="G103" s="24">
        <v>0</v>
      </c>
      <c r="H103" s="24">
        <v>0</v>
      </c>
      <c r="I103" s="24">
        <f t="shared" ref="I103:I112" si="55">E103+F103-G103+H103</f>
        <v>15904.55</v>
      </c>
      <c r="J103" s="19">
        <f>6261.14+493.67</f>
        <v>6754.81</v>
      </c>
      <c r="K103" s="19">
        <f>J103*1.231-J103</f>
        <v>1560.3611100000007</v>
      </c>
      <c r="L103" s="19">
        <f>I103+K103</f>
        <v>17464.911110000001</v>
      </c>
      <c r="M103" s="18">
        <f>L103/M6</f>
        <v>3535.4071072874494</v>
      </c>
      <c r="N103" s="18">
        <f t="shared" ref="N103:N110" si="56">L103*19%</f>
        <v>3318.3331109000001</v>
      </c>
      <c r="O103" s="18">
        <f t="shared" ref="O103:O104" si="57">L103+N103</f>
        <v>20783.2442209</v>
      </c>
      <c r="P103" s="18">
        <f>O103/M6</f>
        <v>4207.1344576720649</v>
      </c>
    </row>
    <row r="104" spans="1:19" ht="55.5" x14ac:dyDescent="0.25">
      <c r="A104" s="59" t="s">
        <v>38</v>
      </c>
      <c r="B104" s="1" t="s">
        <v>39</v>
      </c>
      <c r="C104" s="60">
        <v>46518.6</v>
      </c>
      <c r="D104" s="15">
        <v>34301.82</v>
      </c>
      <c r="E104" s="19">
        <v>24377.64</v>
      </c>
      <c r="F104" s="24">
        <f>D104-E104</f>
        <v>9924.18</v>
      </c>
      <c r="G104" s="24">
        <v>0</v>
      </c>
      <c r="H104" s="24">
        <v>0</v>
      </c>
      <c r="I104" s="24">
        <f>E104+F104-G104+H104</f>
        <v>34301.82</v>
      </c>
      <c r="J104" s="19">
        <v>1095</v>
      </c>
      <c r="K104" s="19">
        <f>J104*1.231-J104</f>
        <v>252.94500000000016</v>
      </c>
      <c r="L104" s="19">
        <f>I104+K104</f>
        <v>34554.764999999999</v>
      </c>
      <c r="M104" s="18">
        <f>L104/M6</f>
        <v>6994.8917004048581</v>
      </c>
      <c r="N104" s="18">
        <f t="shared" si="56"/>
        <v>6565.40535</v>
      </c>
      <c r="O104" s="18">
        <f t="shared" si="57"/>
        <v>41120.17035</v>
      </c>
      <c r="P104" s="18">
        <f>O104/M6</f>
        <v>8323.9211234817813</v>
      </c>
    </row>
    <row r="105" spans="1:19" ht="54" x14ac:dyDescent="0.25">
      <c r="A105" s="34" t="s">
        <v>40</v>
      </c>
      <c r="B105" s="35" t="s">
        <v>104</v>
      </c>
      <c r="C105" s="18">
        <v>21871.14</v>
      </c>
      <c r="D105" s="23">
        <v>24497.38</v>
      </c>
      <c r="E105" s="18">
        <f>E106+E107+E108+E109+E110</f>
        <v>10850.329999999998</v>
      </c>
      <c r="F105" s="18">
        <f>D105-E105</f>
        <v>13647.050000000003</v>
      </c>
      <c r="G105" s="18">
        <f>G106+G107+G108+G109+G110</f>
        <v>0</v>
      </c>
      <c r="H105" s="18">
        <f>H106+H107+H108+H109+H110</f>
        <v>0</v>
      </c>
      <c r="I105" s="18">
        <f>I106+I107+I108+I109+I110</f>
        <v>25598.770559999997</v>
      </c>
      <c r="J105" s="18">
        <f t="shared" ref="J105" si="58">J106+J107+J108+J109+J110</f>
        <v>0</v>
      </c>
      <c r="K105" s="18">
        <v>0</v>
      </c>
      <c r="L105" s="18">
        <f>L106+L107+L108+L109+L110</f>
        <v>27207.171342450001</v>
      </c>
      <c r="M105" s="18">
        <f t="shared" ref="M105:P105" si="59">M106+M107+M108+M109+M110</f>
        <v>5507.5245632489878</v>
      </c>
      <c r="N105" s="18">
        <f t="shared" si="59"/>
        <v>5169.3625550655006</v>
      </c>
      <c r="O105" s="18">
        <f t="shared" si="59"/>
        <v>32376.533897515499</v>
      </c>
      <c r="P105" s="18">
        <f t="shared" si="59"/>
        <v>6553.9542302662949</v>
      </c>
    </row>
    <row r="106" spans="1:19" ht="77.25" customHeight="1" x14ac:dyDescent="0.25">
      <c r="A106" s="34" t="s">
        <v>100</v>
      </c>
      <c r="B106" s="61" t="s">
        <v>105</v>
      </c>
      <c r="C106" s="62">
        <v>0</v>
      </c>
      <c r="D106" s="15">
        <v>0</v>
      </c>
      <c r="E106" s="19">
        <v>0</v>
      </c>
      <c r="F106" s="24">
        <f t="shared" ref="F106:F107" si="60">D106-E106</f>
        <v>0</v>
      </c>
      <c r="G106" s="24">
        <v>0</v>
      </c>
      <c r="H106" s="24">
        <v>0</v>
      </c>
      <c r="I106" s="24">
        <f t="shared" si="55"/>
        <v>0</v>
      </c>
      <c r="J106" s="19">
        <v>0</v>
      </c>
      <c r="K106" s="19">
        <v>0</v>
      </c>
      <c r="L106" s="19">
        <f>F106+J106</f>
        <v>0</v>
      </c>
      <c r="M106" s="19">
        <f t="shared" ref="M106:P106" si="61">G106+K106</f>
        <v>0</v>
      </c>
      <c r="N106" s="18">
        <f t="shared" si="56"/>
        <v>0</v>
      </c>
      <c r="O106" s="19">
        <f t="shared" si="61"/>
        <v>0</v>
      </c>
      <c r="P106" s="19">
        <f t="shared" si="61"/>
        <v>0</v>
      </c>
    </row>
    <row r="107" spans="1:19" ht="66.75" customHeight="1" x14ac:dyDescent="0.25">
      <c r="A107" s="34" t="s">
        <v>101</v>
      </c>
      <c r="B107" s="61" t="s">
        <v>106</v>
      </c>
      <c r="C107" s="62">
        <v>9941.43</v>
      </c>
      <c r="D107" s="15">
        <v>10657.89</v>
      </c>
      <c r="E107" s="19">
        <v>4627.78</v>
      </c>
      <c r="F107" s="24">
        <f t="shared" si="60"/>
        <v>6030.11</v>
      </c>
      <c r="G107" s="24">
        <v>0</v>
      </c>
      <c r="H107" s="24">
        <v>0</v>
      </c>
      <c r="I107" s="24">
        <f t="shared" ref="I107:L107" si="62">0.5%*(I13+I16+I17+I20+I54+I92+I103)</f>
        <v>11151.354799999999</v>
      </c>
      <c r="J107" s="24">
        <v>0</v>
      </c>
      <c r="K107" s="24">
        <v>0</v>
      </c>
      <c r="L107" s="24">
        <f t="shared" si="62"/>
        <v>11882.44606475</v>
      </c>
      <c r="M107" s="24">
        <f>L107/M6</f>
        <v>2405.3534544028339</v>
      </c>
      <c r="N107" s="18">
        <f t="shared" si="56"/>
        <v>2257.6647523024999</v>
      </c>
      <c r="O107" s="24">
        <f>L107+N107</f>
        <v>14140.1108170525</v>
      </c>
      <c r="P107" s="24">
        <f>O107/M6</f>
        <v>2862.3706107393723</v>
      </c>
    </row>
    <row r="108" spans="1:19" ht="156" customHeight="1" x14ac:dyDescent="0.25">
      <c r="A108" s="34" t="s">
        <v>102</v>
      </c>
      <c r="B108" s="61" t="s">
        <v>107</v>
      </c>
      <c r="C108" s="62">
        <v>1988.29</v>
      </c>
      <c r="D108" s="15">
        <v>2115.81</v>
      </c>
      <c r="E108" s="19">
        <v>1851.11</v>
      </c>
      <c r="F108" s="24">
        <f>D108-E108</f>
        <v>264.70000000000005</v>
      </c>
      <c r="G108" s="24">
        <v>0</v>
      </c>
      <c r="H108" s="24">
        <v>0</v>
      </c>
      <c r="I108" s="24">
        <f>0.1%*(I13+I16+I17+I20+I54+I92+I103)</f>
        <v>2230.2709599999998</v>
      </c>
      <c r="J108" s="24">
        <v>0</v>
      </c>
      <c r="K108" s="24">
        <v>0</v>
      </c>
      <c r="L108" s="24">
        <f t="shared" ref="L108" si="63">0.1%*(L13+L16+L17+L20+L54+L92+L103)</f>
        <v>2376.4892129499999</v>
      </c>
      <c r="M108" s="24">
        <f>L108/M6</f>
        <v>481.07069088056676</v>
      </c>
      <c r="N108" s="18">
        <f t="shared" si="56"/>
        <v>451.53295046049999</v>
      </c>
      <c r="O108" s="24">
        <f t="shared" ref="O108:O110" si="64">L108+N108</f>
        <v>2828.0221634105001</v>
      </c>
      <c r="P108" s="24">
        <f>O108/M6</f>
        <v>572.47412214787448</v>
      </c>
    </row>
    <row r="109" spans="1:19" ht="55.5" x14ac:dyDescent="0.25">
      <c r="A109" s="34" t="s">
        <v>103</v>
      </c>
      <c r="B109" s="61" t="s">
        <v>108</v>
      </c>
      <c r="C109" s="62">
        <v>9941.43</v>
      </c>
      <c r="D109" s="15">
        <v>10657.89</v>
      </c>
      <c r="E109" s="19">
        <v>4371.4399999999996</v>
      </c>
      <c r="F109" s="24">
        <f>D109-E109</f>
        <v>6286.45</v>
      </c>
      <c r="G109" s="24">
        <v>0</v>
      </c>
      <c r="H109" s="24">
        <v>0</v>
      </c>
      <c r="I109" s="24">
        <f>0.5%*(I13+I16+I17+I20+I54+I92+I103)</f>
        <v>11151.354799999999</v>
      </c>
      <c r="J109" s="24">
        <v>0</v>
      </c>
      <c r="K109" s="24">
        <v>0</v>
      </c>
      <c r="L109" s="24">
        <f t="shared" ref="L109" si="65">0.5%*(L13+L16+L17+L20+L54+L92+L103)</f>
        <v>11882.44606475</v>
      </c>
      <c r="M109" s="24">
        <f>L109/M6</f>
        <v>2405.3534544028339</v>
      </c>
      <c r="N109" s="18">
        <f t="shared" si="56"/>
        <v>2257.6647523024999</v>
      </c>
      <c r="O109" s="24">
        <f t="shared" si="64"/>
        <v>14140.1108170525</v>
      </c>
      <c r="P109" s="24">
        <f>O109/M6</f>
        <v>2862.3706107393723</v>
      </c>
    </row>
    <row r="110" spans="1:19" ht="83.25" x14ac:dyDescent="0.25">
      <c r="A110" s="34" t="s">
        <v>109</v>
      </c>
      <c r="B110" s="61" t="s">
        <v>125</v>
      </c>
      <c r="C110" s="62">
        <v>0</v>
      </c>
      <c r="D110" s="15">
        <v>1065.79</v>
      </c>
      <c r="E110" s="19">
        <v>0</v>
      </c>
      <c r="F110" s="24">
        <f>D110-E110</f>
        <v>1065.79</v>
      </c>
      <c r="G110" s="24">
        <v>0</v>
      </c>
      <c r="H110" s="24">
        <v>0</v>
      </c>
      <c r="I110" s="24">
        <f t="shared" si="55"/>
        <v>1065.79</v>
      </c>
      <c r="J110" s="19">
        <v>0</v>
      </c>
      <c r="K110" s="19">
        <v>0</v>
      </c>
      <c r="L110" s="19">
        <f>F110+J110</f>
        <v>1065.79</v>
      </c>
      <c r="M110" s="24">
        <f>L110/M6</f>
        <v>215.74696356275302</v>
      </c>
      <c r="N110" s="18">
        <f t="shared" si="56"/>
        <v>202.5001</v>
      </c>
      <c r="O110" s="24">
        <f t="shared" si="64"/>
        <v>1268.2900999999999</v>
      </c>
      <c r="P110" s="24">
        <f>O110/M6</f>
        <v>256.73888663967608</v>
      </c>
    </row>
    <row r="111" spans="1:19" ht="81" x14ac:dyDescent="0.25">
      <c r="A111" s="34" t="s">
        <v>41</v>
      </c>
      <c r="B111" s="35" t="s">
        <v>123</v>
      </c>
      <c r="C111" s="36">
        <v>63372.37</v>
      </c>
      <c r="D111" s="23">
        <v>67163.86</v>
      </c>
      <c r="E111" s="22">
        <v>0</v>
      </c>
      <c r="F111" s="18">
        <f>D111-E111</f>
        <v>67163.86</v>
      </c>
      <c r="G111" s="18">
        <v>0</v>
      </c>
      <c r="H111" s="18">
        <v>0</v>
      </c>
      <c r="I111" s="18">
        <f>3%*(I13+I16+I17+I20+I35+I46+I99)</f>
        <v>83553.280799999993</v>
      </c>
      <c r="J111" s="18">
        <v>0</v>
      </c>
      <c r="K111" s="18">
        <v>0</v>
      </c>
      <c r="L111" s="18">
        <f>3%*(L13+L16+L17+L20+L35+L46+L99)</f>
        <v>87893.017555199986</v>
      </c>
      <c r="M111" s="18">
        <f>L111/M6</f>
        <v>17792.108816842101</v>
      </c>
      <c r="N111" s="18">
        <f>L111*19%</f>
        <v>16699.673335487998</v>
      </c>
      <c r="O111" s="18">
        <f>L111+N111</f>
        <v>104592.69089068798</v>
      </c>
      <c r="P111" s="18">
        <f>O111/M6</f>
        <v>21172.609492042102</v>
      </c>
    </row>
    <row r="112" spans="1:19" ht="54" x14ac:dyDescent="0.25">
      <c r="A112" s="34" t="s">
        <v>110</v>
      </c>
      <c r="B112" s="35" t="s">
        <v>111</v>
      </c>
      <c r="C112" s="36">
        <v>7150</v>
      </c>
      <c r="D112" s="37">
        <v>6150</v>
      </c>
      <c r="E112" s="36">
        <v>0</v>
      </c>
      <c r="F112" s="18">
        <f>D112-E112</f>
        <v>6150</v>
      </c>
      <c r="G112" s="18">
        <v>0</v>
      </c>
      <c r="H112" s="18">
        <v>0</v>
      </c>
      <c r="I112" s="18">
        <f t="shared" si="55"/>
        <v>6150</v>
      </c>
      <c r="J112" s="36">
        <v>0</v>
      </c>
      <c r="K112" s="36">
        <v>0</v>
      </c>
      <c r="L112" s="36">
        <f>I112+K112</f>
        <v>6150</v>
      </c>
      <c r="M112" s="18">
        <f>L112/M6</f>
        <v>1244.9392712550607</v>
      </c>
      <c r="N112" s="18">
        <f>L112*19%</f>
        <v>1168.5</v>
      </c>
      <c r="O112" s="18">
        <f>L112+N112</f>
        <v>7318.5</v>
      </c>
      <c r="P112" s="18">
        <f>O112/M6</f>
        <v>1481.4777327935221</v>
      </c>
    </row>
    <row r="113" spans="1:19" ht="27" x14ac:dyDescent="0.25">
      <c r="A113" s="76" t="s">
        <v>42</v>
      </c>
      <c r="B113" s="76"/>
      <c r="C113" s="33">
        <f>C102+C105+C111+C112</f>
        <v>155712.10999999999</v>
      </c>
      <c r="D113" s="33">
        <f t="shared" ref="D113:K113" si="66">D102+D105+D111+D112</f>
        <v>148017.60999999999</v>
      </c>
      <c r="E113" s="33">
        <f t="shared" si="66"/>
        <v>35565.449999999997</v>
      </c>
      <c r="F113" s="33">
        <f t="shared" si="66"/>
        <v>112452.16</v>
      </c>
      <c r="G113" s="33">
        <f t="shared" si="66"/>
        <v>0</v>
      </c>
      <c r="H113" s="33">
        <f t="shared" si="66"/>
        <v>0</v>
      </c>
      <c r="I113" s="33">
        <f t="shared" si="66"/>
        <v>165508.42135999998</v>
      </c>
      <c r="J113" s="33">
        <f t="shared" si="66"/>
        <v>7849.81</v>
      </c>
      <c r="K113" s="33">
        <f t="shared" si="66"/>
        <v>1813.3061100000009</v>
      </c>
      <c r="L113" s="33">
        <f>L102+L105+L111+L112</f>
        <v>173269.86500764999</v>
      </c>
      <c r="M113" s="33">
        <f t="shared" ref="M113:P113" si="67">M102+M105+M111+M112</f>
        <v>35074.871459038455</v>
      </c>
      <c r="N113" s="33">
        <f t="shared" si="67"/>
        <v>32921.274351453496</v>
      </c>
      <c r="O113" s="33">
        <f t="shared" si="67"/>
        <v>206191.13935910349</v>
      </c>
      <c r="P113" s="33">
        <f t="shared" si="67"/>
        <v>41739.097036255764</v>
      </c>
    </row>
    <row r="114" spans="1:19" ht="27.75" customHeight="1" x14ac:dyDescent="0.25">
      <c r="A114" s="73" t="s">
        <v>64</v>
      </c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</row>
    <row r="115" spans="1:19" ht="27.75" customHeight="1" x14ac:dyDescent="0.25">
      <c r="A115" s="73" t="s">
        <v>63</v>
      </c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</row>
    <row r="116" spans="1:19" ht="55.5" x14ac:dyDescent="0.25">
      <c r="A116" s="34" t="s">
        <v>43</v>
      </c>
      <c r="B116" s="1" t="s">
        <v>44</v>
      </c>
      <c r="C116" s="8">
        <v>0</v>
      </c>
      <c r="D116" s="15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f>E116+F116-G116+H116</f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</row>
    <row r="117" spans="1:19" ht="27.75" x14ac:dyDescent="0.25">
      <c r="A117" s="34" t="s">
        <v>45</v>
      </c>
      <c r="B117" s="1" t="s">
        <v>46</v>
      </c>
      <c r="C117" s="8">
        <v>0</v>
      </c>
      <c r="D117" s="15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f>E117+F117-G117+H117</f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</row>
    <row r="118" spans="1:19" ht="27" x14ac:dyDescent="0.25">
      <c r="A118" s="76" t="s">
        <v>47</v>
      </c>
      <c r="B118" s="76"/>
      <c r="C118" s="33">
        <f>SUM(C116:C117)</f>
        <v>0</v>
      </c>
      <c r="D118" s="58">
        <f>SUM(D116:D117)</f>
        <v>0</v>
      </c>
      <c r="E118" s="33">
        <f t="shared" ref="E118:L118" si="68">SUM(E116:E117)</f>
        <v>0</v>
      </c>
      <c r="F118" s="33">
        <f t="shared" si="68"/>
        <v>0</v>
      </c>
      <c r="G118" s="33">
        <f t="shared" si="68"/>
        <v>0</v>
      </c>
      <c r="H118" s="33">
        <f t="shared" si="68"/>
        <v>0</v>
      </c>
      <c r="I118" s="33">
        <f t="shared" si="68"/>
        <v>0</v>
      </c>
      <c r="J118" s="33">
        <f t="shared" si="68"/>
        <v>0</v>
      </c>
      <c r="K118" s="33">
        <f t="shared" si="68"/>
        <v>0</v>
      </c>
      <c r="L118" s="33">
        <f t="shared" si="68"/>
        <v>0</v>
      </c>
      <c r="M118" s="33">
        <f t="shared" ref="M118:P118" si="69">SUM(M116:M117)</f>
        <v>0</v>
      </c>
      <c r="N118" s="33">
        <f t="shared" si="69"/>
        <v>0</v>
      </c>
      <c r="O118" s="33">
        <f t="shared" si="69"/>
        <v>0</v>
      </c>
      <c r="P118" s="33">
        <f t="shared" si="69"/>
        <v>0</v>
      </c>
    </row>
    <row r="119" spans="1:19" ht="27" x14ac:dyDescent="0.25">
      <c r="A119" s="82" t="s">
        <v>119</v>
      </c>
      <c r="B119" s="82"/>
      <c r="C119" s="63">
        <f>C18+C25+C51+C99+C113+C118</f>
        <v>2724607.2399999998</v>
      </c>
      <c r="D119" s="63">
        <f t="shared" ref="D119:L119" si="70">D18+D25+D51+D99+D113+D118</f>
        <v>2878808.4400000004</v>
      </c>
      <c r="E119" s="63">
        <f t="shared" si="70"/>
        <v>1015680.5399999998</v>
      </c>
      <c r="F119" s="63">
        <f t="shared" si="70"/>
        <v>1863127.9000000004</v>
      </c>
      <c r="G119" s="63">
        <f t="shared" si="70"/>
        <v>100567.27</v>
      </c>
      <c r="H119" s="63">
        <f t="shared" si="70"/>
        <v>186244.83000000002</v>
      </c>
      <c r="I119" s="63">
        <f t="shared" si="70"/>
        <v>2981976.8113600002</v>
      </c>
      <c r="J119" s="63">
        <f t="shared" si="70"/>
        <v>634074.45000000007</v>
      </c>
      <c r="K119" s="63">
        <f t="shared" si="70"/>
        <v>146471.19795000003</v>
      </c>
      <c r="L119" s="63">
        <f t="shared" si="70"/>
        <v>3134396.1468476499</v>
      </c>
      <c r="M119" s="63">
        <f t="shared" ref="M119:P119" si="71">M18+M25+M51+M99+M113+M118</f>
        <v>634493.14713515178</v>
      </c>
      <c r="N119" s="63">
        <f t="shared" si="71"/>
        <v>595535.26790105354</v>
      </c>
      <c r="O119" s="63">
        <f t="shared" si="71"/>
        <v>3729931.4147487031</v>
      </c>
      <c r="P119" s="63">
        <f t="shared" si="71"/>
        <v>780380.69124467659</v>
      </c>
      <c r="S119" s="40">
        <f>O119-3729931.41</f>
        <v>4.7487029805779457E-3</v>
      </c>
    </row>
    <row r="120" spans="1:19" ht="27" x14ac:dyDescent="0.25">
      <c r="A120" s="80" t="s">
        <v>48</v>
      </c>
      <c r="B120" s="80"/>
      <c r="C120" s="64">
        <f>C13+C16+C17+C20+C54+C92+C103</f>
        <v>1988285.1300000001</v>
      </c>
      <c r="D120" s="64">
        <f t="shared" ref="D120:L120" si="72">D13+D16+D17+D20+D54+D92+D103</f>
        <v>2144593.4000000004</v>
      </c>
      <c r="E120" s="64">
        <f t="shared" si="72"/>
        <v>836436.56999999983</v>
      </c>
      <c r="F120" s="64">
        <f t="shared" si="72"/>
        <v>1308156.8300000005</v>
      </c>
      <c r="G120" s="64">
        <f t="shared" si="72"/>
        <v>100567.27</v>
      </c>
      <c r="H120" s="64">
        <f t="shared" si="72"/>
        <v>186244.83000000002</v>
      </c>
      <c r="I120" s="64">
        <f t="shared" si="72"/>
        <v>2230270.96</v>
      </c>
      <c r="J120" s="64">
        <f t="shared" si="72"/>
        <v>632979.45000000007</v>
      </c>
      <c r="K120" s="64">
        <f t="shared" si="72"/>
        <v>146218.25295000002</v>
      </c>
      <c r="L120" s="64">
        <f t="shared" si="72"/>
        <v>2376489.2129500001</v>
      </c>
      <c r="M120" s="64">
        <f t="shared" ref="M120:P120" si="73">M13+M16+M17+M20+M54+M92+M103</f>
        <v>481070.69088056672</v>
      </c>
      <c r="N120" s="64">
        <f t="shared" si="73"/>
        <v>451532.95046050003</v>
      </c>
      <c r="O120" s="64">
        <f t="shared" si="73"/>
        <v>2828022.1634104997</v>
      </c>
      <c r="P120" s="64">
        <f t="shared" si="73"/>
        <v>572474.12214787432</v>
      </c>
    </row>
    <row r="121" spans="1:19" ht="18.75" x14ac:dyDescent="0.25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28"/>
      <c r="P121" s="28"/>
    </row>
    <row r="122" spans="1:19" ht="27.75" x14ac:dyDescent="0.25">
      <c r="A122" s="43"/>
      <c r="B122" s="47" t="s">
        <v>116</v>
      </c>
      <c r="C122" s="47"/>
      <c r="D122" s="48"/>
      <c r="E122" s="48"/>
      <c r="F122" s="79" t="s">
        <v>117</v>
      </c>
      <c r="G122" s="79"/>
      <c r="H122" s="79"/>
      <c r="I122" s="79"/>
      <c r="J122" s="79"/>
      <c r="K122" s="47"/>
      <c r="L122" s="48"/>
      <c r="M122" s="43"/>
      <c r="N122" s="43"/>
      <c r="O122" s="47" t="s">
        <v>192</v>
      </c>
      <c r="P122" s="28"/>
    </row>
    <row r="123" spans="1:19" ht="27.75" x14ac:dyDescent="0.25">
      <c r="A123" s="43"/>
      <c r="B123" s="47" t="s">
        <v>115</v>
      </c>
      <c r="C123" s="47"/>
      <c r="D123" s="48"/>
      <c r="E123" s="48"/>
      <c r="F123" s="79" t="s">
        <v>126</v>
      </c>
      <c r="G123" s="79"/>
      <c r="H123" s="79"/>
      <c r="I123" s="79"/>
      <c r="J123" s="79"/>
      <c r="K123" s="47"/>
      <c r="L123" s="48"/>
      <c r="M123" s="43"/>
      <c r="N123" s="43"/>
      <c r="O123" s="47" t="s">
        <v>189</v>
      </c>
      <c r="P123" s="28"/>
    </row>
    <row r="124" spans="1:19" ht="27.75" x14ac:dyDescent="0.25">
      <c r="A124" s="43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3"/>
      <c r="N124" s="43"/>
      <c r="O124" s="28"/>
      <c r="P124" s="28"/>
    </row>
    <row r="125" spans="1:19" ht="27.75" x14ac:dyDescent="0.25">
      <c r="A125" s="5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5"/>
      <c r="N125" s="47"/>
      <c r="O125" s="47" t="s">
        <v>190</v>
      </c>
    </row>
    <row r="126" spans="1:19" ht="27.75" x14ac:dyDescent="0.25">
      <c r="A126" s="5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5"/>
      <c r="N126" s="47"/>
      <c r="O126" s="47" t="s">
        <v>191</v>
      </c>
    </row>
    <row r="127" spans="1:19" ht="27.75" x14ac:dyDescent="0.25">
      <c r="A127" s="5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5"/>
      <c r="N127" s="5"/>
    </row>
    <row r="128" spans="1:19" ht="27.75" x14ac:dyDescent="0.25">
      <c r="A128" s="5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5"/>
      <c r="N128" s="5"/>
    </row>
    <row r="129" spans="1:14" ht="27.75" x14ac:dyDescent="0.25">
      <c r="A129" s="5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5"/>
      <c r="N129" s="5"/>
    </row>
    <row r="130" spans="1:14" ht="27.75" x14ac:dyDescent="0.25">
      <c r="A130" s="5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5"/>
      <c r="N130" s="5"/>
    </row>
    <row r="131" spans="1:14" ht="27.75" x14ac:dyDescent="0.25">
      <c r="A131" s="5"/>
      <c r="B131" s="6"/>
      <c r="C131" s="6"/>
      <c r="D131" s="6"/>
      <c r="E131" s="6"/>
      <c r="F131" s="78" t="s">
        <v>118</v>
      </c>
      <c r="G131" s="78"/>
      <c r="H131" s="78"/>
      <c r="I131" s="78"/>
      <c r="J131" s="78"/>
      <c r="K131" s="12"/>
      <c r="L131" s="6"/>
      <c r="M131" s="5"/>
      <c r="N131" s="5"/>
    </row>
    <row r="132" spans="1:14" ht="27.75" x14ac:dyDescent="0.25">
      <c r="A132" s="5"/>
      <c r="B132" s="6"/>
      <c r="C132" s="6"/>
      <c r="D132" s="6"/>
      <c r="E132" s="6"/>
      <c r="F132" s="78" t="s">
        <v>127</v>
      </c>
      <c r="G132" s="78"/>
      <c r="H132" s="78"/>
      <c r="I132" s="78"/>
      <c r="J132" s="78"/>
      <c r="K132" s="12"/>
      <c r="L132" s="6"/>
      <c r="M132" s="5"/>
      <c r="N132" s="5"/>
    </row>
    <row r="133" spans="1:14" ht="27.75" x14ac:dyDescent="0.25">
      <c r="A133" s="5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5"/>
      <c r="N133" s="5"/>
    </row>
    <row r="134" spans="1:14" ht="27.75" x14ac:dyDescent="0.25">
      <c r="A134" s="5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5"/>
      <c r="N134" s="5"/>
    </row>
    <row r="135" spans="1:14" ht="27.75" x14ac:dyDescent="0.25">
      <c r="A135" s="5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5"/>
      <c r="N135" s="5"/>
    </row>
    <row r="136" spans="1:14" ht="27.75" x14ac:dyDescent="0.25">
      <c r="A136" s="5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5"/>
      <c r="N136" s="5"/>
    </row>
    <row r="137" spans="1:14" ht="27.75" x14ac:dyDescent="0.25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1:14" ht="27.75" x14ac:dyDescent="0.25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1:14" ht="27.75" x14ac:dyDescent="0.25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</row>
    <row r="140" spans="1:14" ht="27.75" x14ac:dyDescent="0.25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</row>
    <row r="141" spans="1:14" ht="27.75" x14ac:dyDescent="0.25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</row>
    <row r="142" spans="1:14" ht="27.75" x14ac:dyDescent="0.25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</row>
    <row r="143" spans="1:14" ht="27.75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</row>
    <row r="144" spans="1:14" ht="27.75" x14ac:dyDescent="0.25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</row>
  </sheetData>
  <mergeCells count="32">
    <mergeCell ref="A119:B119"/>
    <mergeCell ref="A51:B51"/>
    <mergeCell ref="A7:A8"/>
    <mergeCell ref="B7:B8"/>
    <mergeCell ref="B3:J3"/>
    <mergeCell ref="A99:B99"/>
    <mergeCell ref="A113:B113"/>
    <mergeCell ref="L7:M7"/>
    <mergeCell ref="L3:O5"/>
    <mergeCell ref="A1:B1"/>
    <mergeCell ref="B5:J5"/>
    <mergeCell ref="A25:B25"/>
    <mergeCell ref="F132:J132"/>
    <mergeCell ref="F131:J131"/>
    <mergeCell ref="F123:J123"/>
    <mergeCell ref="F122:J122"/>
    <mergeCell ref="A120:B120"/>
    <mergeCell ref="A100:P100"/>
    <mergeCell ref="A101:P101"/>
    <mergeCell ref="A114:P114"/>
    <mergeCell ref="A115:P115"/>
    <mergeCell ref="A118:B118"/>
    <mergeCell ref="O1:P1"/>
    <mergeCell ref="O7:P7"/>
    <mergeCell ref="A52:P52"/>
    <mergeCell ref="A53:P53"/>
    <mergeCell ref="A10:P10"/>
    <mergeCell ref="A11:P11"/>
    <mergeCell ref="A19:P19"/>
    <mergeCell ref="A26:P26"/>
    <mergeCell ref="A27:P27"/>
    <mergeCell ref="D4:G4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3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DG actualiz.cf.OG 15+rest exec</vt:lpstr>
      <vt:lpstr>'DG actualiz.cf.OG 15+rest exec'!Print_Area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naghiu.doina</dc:creator>
  <cp:lastModifiedBy>Ionut.Ciherean</cp:lastModifiedBy>
  <cp:lastPrinted>2021-10-22T10:02:06Z</cp:lastPrinted>
  <dcterms:created xsi:type="dcterms:W3CDTF">2015-06-05T18:17:20Z</dcterms:created>
  <dcterms:modified xsi:type="dcterms:W3CDTF">2021-10-22T11:40:35Z</dcterms:modified>
</cp:coreProperties>
</file>