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P11\Desktop\"/>
    </mc:Choice>
  </mc:AlternateContent>
  <xr:revisionPtr revIDLastSave="0" documentId="8_{FFE1B11B-F8BC-47BB-9866-541EFB8546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VIZ GENERAL MODIFICAT CU AJUS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0" i="6" l="1"/>
  <c r="H78" i="6"/>
  <c r="G78" i="6"/>
  <c r="K51" i="6"/>
  <c r="U31" i="6" l="1"/>
  <c r="Q61" i="6"/>
  <c r="P61" i="6" s="1"/>
  <c r="I70" i="6"/>
  <c r="G69" i="6"/>
  <c r="H68" i="6"/>
  <c r="I68" i="6" s="1"/>
  <c r="H66" i="6"/>
  <c r="I66" i="6" s="1"/>
  <c r="G65" i="6"/>
  <c r="G63" i="6"/>
  <c r="H63" i="6" s="1"/>
  <c r="H61" i="6" s="1"/>
  <c r="H62" i="6"/>
  <c r="I62" i="6" s="1"/>
  <c r="I61" i="6" s="1"/>
  <c r="L51" i="6"/>
  <c r="H55" i="6"/>
  <c r="I55" i="6" s="1"/>
  <c r="G54" i="6"/>
  <c r="H54" i="6" s="1"/>
  <c r="H53" i="6"/>
  <c r="I53" i="6" s="1"/>
  <c r="H46" i="6"/>
  <c r="I46" i="6" s="1"/>
  <c r="H45" i="6"/>
  <c r="I45" i="6" s="1"/>
  <c r="H44" i="6"/>
  <c r="G43" i="6"/>
  <c r="G42" i="6" s="1"/>
  <c r="G41" i="6"/>
  <c r="H41" i="6" s="1"/>
  <c r="G40" i="6"/>
  <c r="I39" i="6"/>
  <c r="G38" i="6"/>
  <c r="H38" i="6" s="1"/>
  <c r="H37" i="6"/>
  <c r="I37" i="6" s="1"/>
  <c r="H36" i="6"/>
  <c r="I36" i="6" s="1"/>
  <c r="H35" i="6"/>
  <c r="I35" i="6" s="1"/>
  <c r="H34" i="6"/>
  <c r="I34" i="6" s="1"/>
  <c r="G33" i="6"/>
  <c r="H33" i="6" s="1"/>
  <c r="G32" i="6"/>
  <c r="G30" i="6"/>
  <c r="H30" i="6" s="1"/>
  <c r="H29" i="6"/>
  <c r="I29" i="6" s="1"/>
  <c r="H28" i="6"/>
  <c r="I28" i="6" s="1"/>
  <c r="H27" i="6"/>
  <c r="I27" i="6" s="1"/>
  <c r="G26" i="6"/>
  <c r="H26" i="6" s="1"/>
  <c r="H25" i="6"/>
  <c r="H20" i="6"/>
  <c r="I20" i="6" s="1"/>
  <c r="I16" i="6"/>
  <c r="H16" i="6"/>
  <c r="G16" i="6"/>
  <c r="U64" i="6"/>
  <c r="U57" i="6"/>
  <c r="U42" i="6"/>
  <c r="U24" i="6"/>
  <c r="T70" i="6"/>
  <c r="Q64" i="6"/>
  <c r="S28" i="6"/>
  <c r="R28" i="6" s="1"/>
  <c r="P28" i="6"/>
  <c r="R43" i="6"/>
  <c r="P66" i="6"/>
  <c r="P62" i="6"/>
  <c r="P55" i="6"/>
  <c r="P53" i="6"/>
  <c r="P51" i="6"/>
  <c r="P46" i="6"/>
  <c r="P31" i="6"/>
  <c r="P27" i="6"/>
  <c r="P24" i="6"/>
  <c r="P20" i="6"/>
  <c r="P14" i="6"/>
  <c r="S68" i="6"/>
  <c r="T68" i="6" s="1"/>
  <c r="K67" i="6"/>
  <c r="N67" i="6" s="1"/>
  <c r="O67" i="6" s="1"/>
  <c r="S66" i="6"/>
  <c r="R66" i="6" s="1"/>
  <c r="S70" i="6"/>
  <c r="S62" i="6"/>
  <c r="R62" i="6" s="1"/>
  <c r="R61" i="6" s="1"/>
  <c r="Q57" i="6"/>
  <c r="S55" i="6"/>
  <c r="T55" i="6" s="1"/>
  <c r="S53" i="6"/>
  <c r="T53" i="6" s="1"/>
  <c r="Q42" i="6"/>
  <c r="S46" i="6"/>
  <c r="S42" i="6" s="1"/>
  <c r="Q31" i="6"/>
  <c r="S37" i="6"/>
  <c r="S36" i="6"/>
  <c r="S35" i="6"/>
  <c r="S34" i="6"/>
  <c r="S29" i="6"/>
  <c r="S27" i="6"/>
  <c r="R27" i="6" s="1"/>
  <c r="R24" i="6" s="1"/>
  <c r="S20" i="6"/>
  <c r="R20" i="6" s="1"/>
  <c r="S14" i="6"/>
  <c r="R14" i="6" s="1"/>
  <c r="R16" i="6" s="1"/>
  <c r="K13" i="6"/>
  <c r="L13" i="6" s="1"/>
  <c r="L14" i="6"/>
  <c r="M14" i="6" s="1"/>
  <c r="M16" i="6" s="1"/>
  <c r="K15" i="6"/>
  <c r="L15" i="6" s="1"/>
  <c r="L20" i="6"/>
  <c r="M20" i="6" s="1"/>
  <c r="N68" i="6"/>
  <c r="O68" i="6" s="1"/>
  <c r="N66" i="6"/>
  <c r="O66" i="6" s="1"/>
  <c r="O31" i="6"/>
  <c r="O47" i="6" s="1"/>
  <c r="N55" i="6"/>
  <c r="O55" i="6" s="1"/>
  <c r="N53" i="6"/>
  <c r="O53" i="6" s="1"/>
  <c r="N70" i="6"/>
  <c r="O70" i="6" s="1"/>
  <c r="O64" i="6"/>
  <c r="L25" i="6"/>
  <c r="M25" i="6" s="1"/>
  <c r="K26" i="6"/>
  <c r="K24" i="6" s="1"/>
  <c r="S24" i="6" s="1"/>
  <c r="L27" i="6"/>
  <c r="M27" i="6" s="1"/>
  <c r="L28" i="6"/>
  <c r="M28" i="6" s="1"/>
  <c r="L29" i="6"/>
  <c r="M29" i="6" s="1"/>
  <c r="K30" i="6"/>
  <c r="L30" i="6" s="1"/>
  <c r="K32" i="6"/>
  <c r="L32" i="6" s="1"/>
  <c r="K33" i="6"/>
  <c r="L33" i="6" s="1"/>
  <c r="L34" i="6"/>
  <c r="M34" i="6" s="1"/>
  <c r="L35" i="6"/>
  <c r="M35" i="6" s="1"/>
  <c r="L36" i="6"/>
  <c r="M36" i="6" s="1"/>
  <c r="L37" i="6"/>
  <c r="M37" i="6" s="1"/>
  <c r="K38" i="6"/>
  <c r="L38" i="6" s="1"/>
  <c r="M39" i="6"/>
  <c r="K40" i="6"/>
  <c r="L40" i="6" s="1"/>
  <c r="K41" i="6"/>
  <c r="L41" i="6" s="1"/>
  <c r="K43" i="6"/>
  <c r="K42" i="6" s="1"/>
  <c r="L44" i="6"/>
  <c r="M44" i="6" s="1"/>
  <c r="L45" i="6"/>
  <c r="M45" i="6" s="1"/>
  <c r="L46" i="6"/>
  <c r="M46" i="6" s="1"/>
  <c r="L52" i="6"/>
  <c r="M52" i="6" s="1"/>
  <c r="L53" i="6"/>
  <c r="M53" i="6" s="1"/>
  <c r="K54" i="6"/>
  <c r="L54" i="6" s="1"/>
  <c r="L55" i="6"/>
  <c r="M55" i="6" s="1"/>
  <c r="L62" i="6"/>
  <c r="M62" i="6" s="1"/>
  <c r="M61" i="6" s="1"/>
  <c r="K63" i="6"/>
  <c r="L63" i="6" s="1"/>
  <c r="K65" i="6"/>
  <c r="L65" i="6" s="1"/>
  <c r="L66" i="6"/>
  <c r="M66" i="6" s="1"/>
  <c r="L68" i="6"/>
  <c r="M68" i="6" s="1"/>
  <c r="K69" i="6"/>
  <c r="L70" i="6"/>
  <c r="M70" i="6" s="1"/>
  <c r="K71" i="6"/>
  <c r="L71" i="6" s="1"/>
  <c r="K75" i="6"/>
  <c r="L75" i="6" s="1"/>
  <c r="K76" i="6"/>
  <c r="L76" i="6" s="1"/>
  <c r="M77" i="6"/>
  <c r="I57" i="6" l="1"/>
  <c r="G31" i="6"/>
  <c r="L16" i="6"/>
  <c r="G39" i="6"/>
  <c r="S61" i="6"/>
  <c r="G57" i="6"/>
  <c r="Q72" i="6"/>
  <c r="I64" i="6"/>
  <c r="I72" i="6" s="1"/>
  <c r="G64" i="6"/>
  <c r="H65" i="6"/>
  <c r="G61" i="6"/>
  <c r="H24" i="6"/>
  <c r="I31" i="6"/>
  <c r="K16" i="6"/>
  <c r="H57" i="6"/>
  <c r="H43" i="6"/>
  <c r="H42" i="6" s="1"/>
  <c r="I44" i="6"/>
  <c r="I43" i="6" s="1"/>
  <c r="I42" i="6" s="1"/>
  <c r="H40" i="6"/>
  <c r="H39" i="6" s="1"/>
  <c r="H32" i="6"/>
  <c r="H31" i="6" s="1"/>
  <c r="I25" i="6"/>
  <c r="I24" i="6" s="1"/>
  <c r="G24" i="6"/>
  <c r="P57" i="6"/>
  <c r="U47" i="6"/>
  <c r="P47" i="6"/>
  <c r="O72" i="6"/>
  <c r="R55" i="6"/>
  <c r="R53" i="6"/>
  <c r="R46" i="6"/>
  <c r="T66" i="6"/>
  <c r="L61" i="6"/>
  <c r="Q47" i="6"/>
  <c r="S31" i="6"/>
  <c r="S47" i="6" s="1"/>
  <c r="Q78" i="6"/>
  <c r="S51" i="6"/>
  <c r="S67" i="6"/>
  <c r="T67" i="6" s="1"/>
  <c r="L67" i="6"/>
  <c r="M67" i="6" s="1"/>
  <c r="M64" i="6" s="1"/>
  <c r="M72" i="6" s="1"/>
  <c r="K31" i="6"/>
  <c r="K64" i="6"/>
  <c r="S64" i="6" s="1"/>
  <c r="K61" i="6"/>
  <c r="K57" i="6"/>
  <c r="N57" i="6" s="1"/>
  <c r="O57" i="6" s="1"/>
  <c r="O78" i="6" s="1"/>
  <c r="K39" i="6"/>
  <c r="L77" i="6"/>
  <c r="K77" i="6"/>
  <c r="L39" i="6"/>
  <c r="M31" i="6"/>
  <c r="L26" i="6"/>
  <c r="L24" i="6" s="1"/>
  <c r="M24" i="6"/>
  <c r="M43" i="6"/>
  <c r="M42" i="6" s="1"/>
  <c r="L31" i="6"/>
  <c r="N51" i="6"/>
  <c r="O51" i="6" s="1"/>
  <c r="L57" i="6"/>
  <c r="M51" i="6"/>
  <c r="M57" i="6" s="1"/>
  <c r="L43" i="6"/>
  <c r="L42" i="6" s="1"/>
  <c r="G47" i="6" l="1"/>
  <c r="I47" i="6"/>
  <c r="H47" i="6"/>
  <c r="G72" i="6"/>
  <c r="H64" i="6"/>
  <c r="H72" i="6" s="1"/>
  <c r="T64" i="6"/>
  <c r="L47" i="6"/>
  <c r="S57" i="6"/>
  <c r="W55" i="6" s="1"/>
  <c r="U62" i="6" s="1"/>
  <c r="R51" i="6"/>
  <c r="R57" i="6" s="1"/>
  <c r="T51" i="6"/>
  <c r="T57" i="6" s="1"/>
  <c r="K72" i="6"/>
  <c r="S72" i="6" s="1"/>
  <c r="L64" i="6"/>
  <c r="L72" i="6" s="1"/>
  <c r="N64" i="6"/>
  <c r="N72" i="6" s="1"/>
  <c r="K47" i="6"/>
  <c r="M47" i="6"/>
  <c r="I78" i="6" l="1"/>
  <c r="U61" i="6"/>
  <c r="T62" i="6"/>
  <c r="T61" i="6" s="1"/>
  <c r="T78" i="6" s="1"/>
  <c r="N78" i="6"/>
  <c r="N79" i="6" s="1"/>
  <c r="K78" i="6"/>
  <c r="T79" i="6" l="1"/>
  <c r="S78" i="6"/>
  <c r="X77" i="6" s="1"/>
  <c r="M78" i="6"/>
  <c r="S83" i="6"/>
  <c r="T72" i="6"/>
  <c r="U72" i="6"/>
  <c r="U78" i="6" s="1"/>
  <c r="V76" i="6" s="1"/>
  <c r="L78" i="6"/>
  <c r="O79" i="6" l="1"/>
  <c r="Q79" i="6"/>
  <c r="Q80" i="6" s="1"/>
  <c r="V78" i="6"/>
  <c r="T80" i="6"/>
  <c r="N80" i="6"/>
  <c r="O80" i="6" s="1"/>
  <c r="S79" i="6" l="1"/>
  <c r="U79" i="6" s="1"/>
  <c r="V79" i="6" s="1"/>
  <c r="S80" i="6" l="1"/>
  <c r="R83" i="6" s="1"/>
  <c r="R42" i="6" l="1"/>
  <c r="R47" i="6" s="1"/>
  <c r="R64" i="6"/>
  <c r="R72" i="6" s="1"/>
  <c r="R78" i="6" l="1"/>
  <c r="P64" i="6"/>
  <c r="P72" i="6" s="1"/>
  <c r="U80" i="6" l="1"/>
  <c r="V80" i="6" s="1"/>
  <c r="P78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Ciocanea.Marinel</author>
  </authors>
  <commentList>
    <comment ref="J5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Ciocanea.Marinel:</t>
        </r>
        <r>
          <rPr>
            <sz val="9"/>
            <color indexed="81"/>
            <rFont val="Tahoma"/>
            <family val="2"/>
          </rPr>
          <t xml:space="preserve">
VALOARE AJUSTARE ESTIMATA</t>
        </r>
      </text>
    </comment>
  </commentList>
</comments>
</file>

<file path=xl/sharedStrings.xml><?xml version="1.0" encoding="utf-8"?>
<sst xmlns="http://schemas.openxmlformats.org/spreadsheetml/2006/main" count="124" uniqueCount="118">
  <si>
    <t>TOTAL GENERAL</t>
  </si>
  <si>
    <t>TOTAL CAPITOL 6</t>
  </si>
  <si>
    <t>Probe tehnologice şi teste</t>
  </si>
  <si>
    <t>6.2.</t>
  </si>
  <si>
    <t>Pregătirea personalului de exploatare</t>
  </si>
  <si>
    <t>6.1.</t>
  </si>
  <si>
    <t>Cheltuieli pentru probe tehnologice şi teste</t>
  </si>
  <si>
    <t>CAPITOLUL 6</t>
  </si>
  <si>
    <t>TOTAL CAPITOL 5</t>
  </si>
  <si>
    <t>Cheltuieli pentru informare şi publicitate</t>
  </si>
  <si>
    <t>5.4.</t>
  </si>
  <si>
    <t>5.3.</t>
  </si>
  <si>
    <t>5.2.5. taxe pentru acorduri, avize conforme şi autorizaţia de construire/ desfiinţare</t>
  </si>
  <si>
    <t>5.2.4. cota aferentă Casei Sociale a Constructorilor - C.S.C.</t>
  </si>
  <si>
    <t>5.2.3. cota aferentă I.S.C. pentru controlul statului în amenajarea teritoriului, urbanism şi pentru autorizarea lucrărilor de construcţii</t>
  </si>
  <si>
    <t>5.2.2. cota aferentă I.S.C. pentru controlul calităţii lucrărilor de construcţii</t>
  </si>
  <si>
    <t>5.2.1. comisioanele şi dobânzile aferente creditului băncii finanţatoare</t>
  </si>
  <si>
    <t>Comisioane, cote, taxe, costul creditului</t>
  </si>
  <si>
    <t>5.2.</t>
  </si>
  <si>
    <t>5.1.2. Cheltuieli conexe organizării şantierului</t>
  </si>
  <si>
    <t>5.1.1. Lucrări de construcţii şi instalaţii aferente organizării de şantier</t>
  </si>
  <si>
    <t>Organizare de şantier</t>
  </si>
  <si>
    <t>5.1.</t>
  </si>
  <si>
    <t>Alte cheltuieli</t>
  </si>
  <si>
    <t>CAPITOLUL 5</t>
  </si>
  <si>
    <t>TOTAL CAPITOL 4</t>
  </si>
  <si>
    <t>4.6.</t>
  </si>
  <si>
    <t>Dotări</t>
  </si>
  <si>
    <t>4.5.</t>
  </si>
  <si>
    <t>Utilaje, echipamente tehnologice şi funcţionale care nu necesită montaj şi echipamente de transport</t>
  </si>
  <si>
    <t>4.4.</t>
  </si>
  <si>
    <t>Utilaje, echipamente tehnologice şi funcţionale care necesită montaj</t>
  </si>
  <si>
    <t>4.3.</t>
  </si>
  <si>
    <t>Montaj utilaje tehnologice, echipamente tehnologice şi funcţionale</t>
  </si>
  <si>
    <t>4.2.</t>
  </si>
  <si>
    <t>Construcţii şi instalaţii</t>
  </si>
  <si>
    <t>4.1.</t>
  </si>
  <si>
    <t>Cheltuieli pentru investiţia de bază</t>
  </si>
  <si>
    <t>TOTAL CAPITOL 3</t>
  </si>
  <si>
    <t>3.8.2. Dirigenţie de şantier</t>
  </si>
  <si>
    <t>3.8.1.2. pentru participarea proiectantului la fazele incluse în programul de control al lucrărilor de execuţie, avizat de Inspectoratul de Stat în Construcţii</t>
  </si>
  <si>
    <t>3.8.1.1. pe perioada de execuţie a lucrărilor</t>
  </si>
  <si>
    <t>3.8.1. Asistenţă tehnică din partea proiectantului</t>
  </si>
  <si>
    <t>Asistenţă tehnică</t>
  </si>
  <si>
    <t>3.8.</t>
  </si>
  <si>
    <t>3.7.2. Auditul financiar</t>
  </si>
  <si>
    <t>3.7.1. Managementul de proiect pentru obiectivul de investiţii</t>
  </si>
  <si>
    <t>Consultanţă</t>
  </si>
  <si>
    <t>3.7.</t>
  </si>
  <si>
    <t>3.5.6. Proiect tehnic şi detalii de execuţie</t>
  </si>
  <si>
    <t>3.5.5. Verificarea tehnică de calitate a proiectului tehnic şi a detaliilor de execuţie</t>
  </si>
  <si>
    <t>3.5.4. Documentaţiile tehnice necesare în vederea obţinerii avizelor/ acordurilor/ autorizaţiilor</t>
  </si>
  <si>
    <t>3.5.3. Studiu de fezabilitate/ documentaţia de avizare a lucrărilor de intervenţie şi devizul general</t>
  </si>
  <si>
    <t>3.5.2. Studiu de prefezabilitate</t>
  </si>
  <si>
    <t>3.5.1. Tema de proiectare</t>
  </si>
  <si>
    <t>Proiectare</t>
  </si>
  <si>
    <t>3.5.</t>
  </si>
  <si>
    <t>Certificarea performanţei energetice şi auditul energetic al clădirilor</t>
  </si>
  <si>
    <t>3.4.</t>
  </si>
  <si>
    <t>Expertiză tehnică</t>
  </si>
  <si>
    <t>3.3.</t>
  </si>
  <si>
    <t>Documentaţii-suport şi cheltuieli pentru obţinerea de aviz, acorduri şi autorizaţii</t>
  </si>
  <si>
    <t>3.2.</t>
  </si>
  <si>
    <t>3.1.3. Alte studii specifice</t>
  </si>
  <si>
    <t>3.1.2. Raport privind impactul asupra mediului</t>
  </si>
  <si>
    <t>3.1.1. Studii de teren</t>
  </si>
  <si>
    <t>Studii</t>
  </si>
  <si>
    <t>3.1.</t>
  </si>
  <si>
    <t>Cheltuieli pentru proiectare şi asistenţă tehnică</t>
  </si>
  <si>
    <t>CAPITOLUL 3</t>
  </si>
  <si>
    <t>TOTAL CAPITOL 2</t>
  </si>
  <si>
    <t>Cheltuieli pentru asigurarea utilităţilor necesare obiectivului de investiţii</t>
  </si>
  <si>
    <t>CAPITOLUL 2</t>
  </si>
  <si>
    <t>TOTAL CAPITOL 1</t>
  </si>
  <si>
    <t>Cheltuieli pentru relocarea/protecţia utilităţilor</t>
  </si>
  <si>
    <t>1.4.</t>
  </si>
  <si>
    <t>Amenajări pentru protecţia mediului şi  aducerea terenului la starea iniţială</t>
  </si>
  <si>
    <t>1.3.</t>
  </si>
  <si>
    <t>Amenajarea terenului</t>
  </si>
  <si>
    <t>1.2.</t>
  </si>
  <si>
    <t>lei</t>
  </si>
  <si>
    <t>Nr. crt.</t>
  </si>
  <si>
    <t>Construcţii şi instalaţii - buget local</t>
  </si>
  <si>
    <t>Denumirea capitolelor şi subcapitolelor de cheltuieli</t>
  </si>
  <si>
    <t>3.6. Organizarea procedurilor</t>
  </si>
  <si>
    <t>DEVIZ GENERAL ACTUALIZAT</t>
  </si>
  <si>
    <t>DIRECTIA ECONOMICA,</t>
  </si>
  <si>
    <t>NICOLAE SCURTU</t>
  </si>
  <si>
    <t>LIA IVASCU</t>
  </si>
  <si>
    <t xml:space="preserve"> </t>
  </si>
  <si>
    <t>Cheltuieli diverse şi neprevăzute ( 6.29% din 1.2  1.3  1.4  2  3.5  3.8  4)</t>
  </si>
  <si>
    <t xml:space="preserve">                                                    PRIMAR,</t>
  </si>
  <si>
    <t xml:space="preserve">                                         Beneficiar:Primaria municipiului Bistrita,jud.Bistrita-Nasaud</t>
  </si>
  <si>
    <t xml:space="preserve">                                 Reabilitare și modernizare Liceul de Muzică Tudor Jarda, str. Al. Odobescu nr. 8, municipiul Bistrița</t>
  </si>
  <si>
    <t xml:space="preserve"> dupa aplicare OG 15/2021</t>
  </si>
  <si>
    <t>TVA 19%  (20%, 24%)</t>
  </si>
  <si>
    <t xml:space="preserve">                           LIA IVASCU</t>
  </si>
  <si>
    <t>AJUSTARI CF OG 15/2021</t>
  </si>
  <si>
    <t>DG actualizat dupa HCL 133/23.09.2021 (fara TVA) si Acte aditionale incluse</t>
  </si>
  <si>
    <t>DG actualizat dupa HCL 133/23.09.2021 (TVA inclus) si Acte aditionale incluse</t>
  </si>
  <si>
    <t xml:space="preserve">DG actualizat cu HG 15/2021 (fara TVA) </t>
  </si>
  <si>
    <t xml:space="preserve">DG actualizat cu HG 15/2021 (TVA inclus) </t>
  </si>
  <si>
    <t>DG actualizat cu HG 15/2021 Buget stat (exclusiv TVA)</t>
  </si>
  <si>
    <t>DG actualizat cu HG 15/2021 Buget local (exclusiv TVA)</t>
  </si>
  <si>
    <t>Rest de executat conform DG actualizat cu HG 15/2021 (fara TVA)</t>
  </si>
  <si>
    <t>TVA (19%, 20%, 24%)</t>
  </si>
  <si>
    <t>Rest de executat ( cu actualizari cf oug 15)  la Buget stat (fara TVA)</t>
  </si>
  <si>
    <t>Rest de executat ( cu actualizari cf oug 15) la Buget local (fara TVA)</t>
  </si>
  <si>
    <t>Total din care</t>
  </si>
  <si>
    <t>Realizat cumulat  ( BL+BS)la 03.09.2021  (fara TVA)</t>
  </si>
  <si>
    <t>DG actualizat cu HG 15/2021 (fara TVA)  din care:</t>
  </si>
  <si>
    <t xml:space="preserve">          DIRECTIA TEHNICA,</t>
  </si>
  <si>
    <t>IOAN TURC</t>
  </si>
  <si>
    <t xml:space="preserve">  PRIMAR</t>
  </si>
  <si>
    <t>TOTAL C+M</t>
  </si>
  <si>
    <t>10,814,613,94</t>
  </si>
  <si>
    <t>DIRECTIA TEHNICA</t>
  </si>
  <si>
    <t>Anexa 2   la Hotararea de Consiliu local nr….....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</si>
</sst>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;[Red]#,##0.00"/>
  </numFmts>
  <fonts count="16" x14ac:knownFonts="1">
    <font>
      <sz val="11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color rgb="FFFF0000"/>
      <name val="Arial"/>
      <family val="2"/>
    </font>
    <font>
      <b/>
      <i/>
      <sz val="14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4"/>
      <color rgb="FFFF0000"/>
      <name val="Arial"/>
      <family val="2"/>
    </font>
    <font>
      <b/>
      <sz val="12"/>
      <color rgb="FF00000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99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ont="0" applyBorder="0" applyProtection="0"/>
  </cellStyleXfs>
  <cellXfs count="192">
    <xf numFmtId="0" fontId="0" fillId="0" borderId="0" xfId="0"/>
    <xf numFmtId="4" fontId="4" fillId="2" borderId="7" xfId="1" applyNumberFormat="1" applyFont="1" applyFill="1" applyBorder="1" applyAlignment="1">
      <alignment horizontal="center" wrapText="1"/>
    </xf>
    <xf numFmtId="4" fontId="4" fillId="2" borderId="8" xfId="1" applyNumberFormat="1" applyFont="1" applyFill="1" applyBorder="1" applyAlignment="1">
      <alignment horizontal="center" wrapText="1"/>
    </xf>
    <xf numFmtId="0" fontId="5" fillId="2" borderId="0" xfId="0" applyFont="1" applyFill="1" applyAlignment="1"/>
    <xf numFmtId="0" fontId="6" fillId="2" borderId="0" xfId="1" applyFont="1" applyFill="1" applyBorder="1" applyAlignment="1"/>
    <xf numFmtId="0" fontId="8" fillId="2" borderId="0" xfId="1" applyFont="1" applyFill="1" applyBorder="1" applyAlignment="1"/>
    <xf numFmtId="0" fontId="9" fillId="0" borderId="0" xfId="0" applyFont="1"/>
    <xf numFmtId="0" fontId="6" fillId="2" borderId="1" xfId="1" applyFont="1" applyFill="1" applyBorder="1" applyAlignment="1">
      <alignment wrapText="1"/>
    </xf>
    <xf numFmtId="0" fontId="6" fillId="2" borderId="0" xfId="1" applyFont="1" applyFill="1" applyAlignment="1">
      <alignment wrapText="1"/>
    </xf>
    <xf numFmtId="4" fontId="6" fillId="2" borderId="0" xfId="1" applyNumberFormat="1" applyFont="1" applyFill="1" applyAlignment="1"/>
    <xf numFmtId="0" fontId="8" fillId="2" borderId="0" xfId="1" applyFont="1" applyFill="1" applyAlignment="1"/>
    <xf numFmtId="4" fontId="5" fillId="2" borderId="0" xfId="1" applyNumberFormat="1" applyFont="1" applyFill="1" applyAlignment="1"/>
    <xf numFmtId="4" fontId="6" fillId="2" borderId="0" xfId="1" applyNumberFormat="1" applyFont="1" applyFill="1" applyBorder="1" applyAlignment="1"/>
    <xf numFmtId="4" fontId="8" fillId="2" borderId="0" xfId="1" applyNumberFormat="1" applyFont="1" applyFill="1" applyBorder="1" applyAlignment="1"/>
    <xf numFmtId="0" fontId="6" fillId="2" borderId="0" xfId="1" applyFont="1" applyFill="1" applyAlignment="1"/>
    <xf numFmtId="0" fontId="5" fillId="2" borderId="0" xfId="1" applyFont="1" applyFill="1" applyAlignment="1"/>
    <xf numFmtId="0" fontId="5" fillId="2" borderId="0" xfId="1" applyFont="1" applyFill="1" applyBorder="1" applyAlignment="1"/>
    <xf numFmtId="4" fontId="6" fillId="2" borderId="0" xfId="1" applyNumberFormat="1" applyFont="1" applyFill="1" applyAlignment="1">
      <alignment wrapText="1"/>
    </xf>
    <xf numFmtId="4" fontId="5" fillId="2" borderId="0" xfId="1" applyNumberFormat="1" applyFont="1" applyFill="1" applyAlignment="1">
      <alignment wrapText="1"/>
    </xf>
    <xf numFmtId="4" fontId="6" fillId="2" borderId="4" xfId="1" applyNumberFormat="1" applyFont="1" applyFill="1" applyBorder="1" applyAlignment="1">
      <alignment horizontal="right"/>
    </xf>
    <xf numFmtId="4" fontId="6" fillId="3" borderId="4" xfId="1" applyNumberFormat="1" applyFont="1" applyFill="1" applyBorder="1" applyAlignment="1">
      <alignment horizontal="right"/>
    </xf>
    <xf numFmtId="0" fontId="9" fillId="2" borderId="17" xfId="0" applyFont="1" applyFill="1" applyBorder="1" applyAlignment="1">
      <alignment wrapText="1"/>
    </xf>
    <xf numFmtId="4" fontId="0" fillId="0" borderId="0" xfId="0" applyNumberFormat="1"/>
    <xf numFmtId="0" fontId="5" fillId="2" borderId="0" xfId="1" applyFont="1" applyFill="1" applyAlignment="1">
      <alignment horizontal="center" wrapText="1"/>
    </xf>
    <xf numFmtId="4" fontId="6" fillId="3" borderId="1" xfId="1" applyNumberFormat="1" applyFont="1" applyFill="1" applyBorder="1" applyAlignment="1">
      <alignment horizontal="center" wrapText="1"/>
    </xf>
    <xf numFmtId="1" fontId="6" fillId="2" borderId="2" xfId="1" applyNumberFormat="1" applyFont="1" applyFill="1" applyBorder="1" applyAlignment="1">
      <alignment wrapText="1"/>
    </xf>
    <xf numFmtId="4" fontId="10" fillId="2" borderId="4" xfId="0" applyNumberFormat="1" applyFont="1" applyFill="1" applyBorder="1" applyAlignment="1">
      <alignment wrapText="1"/>
    </xf>
    <xf numFmtId="0" fontId="0" fillId="2" borderId="0" xfId="0" applyFill="1"/>
    <xf numFmtId="0" fontId="0" fillId="2" borderId="16" xfId="0" applyFill="1" applyBorder="1"/>
    <xf numFmtId="1" fontId="3" fillId="2" borderId="6" xfId="1" applyNumberFormat="1" applyFont="1" applyFill="1" applyBorder="1" applyAlignment="1">
      <alignment horizontal="center"/>
    </xf>
    <xf numFmtId="4" fontId="9" fillId="2" borderId="1" xfId="0" applyNumberFormat="1" applyFont="1" applyFill="1" applyBorder="1"/>
    <xf numFmtId="0" fontId="9" fillId="2" borderId="4" xfId="0" applyFont="1" applyFill="1" applyBorder="1"/>
    <xf numFmtId="4" fontId="10" fillId="2" borderId="20" xfId="0" applyNumberFormat="1" applyFont="1" applyFill="1" applyBorder="1" applyAlignment="1">
      <alignment wrapText="1"/>
    </xf>
    <xf numFmtId="0" fontId="9" fillId="2" borderId="1" xfId="0" applyFont="1" applyFill="1" applyBorder="1"/>
    <xf numFmtId="4" fontId="9" fillId="2" borderId="4" xfId="0" applyNumberFormat="1" applyFont="1" applyFill="1" applyBorder="1"/>
    <xf numFmtId="4" fontId="9" fillId="2" borderId="17" xfId="0" applyNumberFormat="1" applyFont="1" applyFill="1" applyBorder="1" applyAlignment="1">
      <alignment wrapText="1"/>
    </xf>
    <xf numFmtId="4" fontId="9" fillId="2" borderId="20" xfId="0" applyNumberFormat="1" applyFont="1" applyFill="1" applyBorder="1" applyAlignment="1">
      <alignment wrapText="1"/>
    </xf>
    <xf numFmtId="0" fontId="7" fillId="0" borderId="0" xfId="0" applyFont="1"/>
    <xf numFmtId="4" fontId="13" fillId="2" borderId="0" xfId="1" applyNumberFormat="1" applyFont="1" applyFill="1" applyBorder="1" applyAlignment="1"/>
    <xf numFmtId="0" fontId="5" fillId="2" borderId="0" xfId="0" applyFont="1" applyFill="1"/>
    <xf numFmtId="0" fontId="5" fillId="2" borderId="0" xfId="1" applyFont="1" applyFill="1" applyAlignment="1">
      <alignment horizontal="center" wrapText="1"/>
    </xf>
    <xf numFmtId="0" fontId="6" fillId="2" borderId="0" xfId="0" applyFont="1" applyFill="1"/>
    <xf numFmtId="1" fontId="6" fillId="2" borderId="1" xfId="1" applyNumberFormat="1" applyFont="1" applyFill="1" applyBorder="1" applyAlignment="1">
      <alignment wrapText="1"/>
    </xf>
    <xf numFmtId="1" fontId="6" fillId="2" borderId="1" xfId="1" applyNumberFormat="1" applyFont="1" applyFill="1" applyBorder="1" applyAlignment="1">
      <alignment horizontal="left" wrapText="1"/>
    </xf>
    <xf numFmtId="0" fontId="6" fillId="2" borderId="1" xfId="1" applyFont="1" applyFill="1" applyBorder="1" applyAlignment="1">
      <alignment horizontal="left" wrapText="1"/>
    </xf>
    <xf numFmtId="1" fontId="6" fillId="3" borderId="1" xfId="1" applyNumberFormat="1" applyFont="1" applyFill="1" applyBorder="1" applyAlignment="1">
      <alignment horizontal="left" wrapText="1"/>
    </xf>
    <xf numFmtId="0" fontId="6" fillId="3" borderId="1" xfId="1" applyFont="1" applyFill="1" applyBorder="1" applyAlignment="1">
      <alignment horizontal="left" wrapText="1"/>
    </xf>
    <xf numFmtId="1" fontId="3" fillId="2" borderId="1" xfId="1" applyNumberFormat="1" applyFont="1" applyFill="1" applyBorder="1" applyAlignment="1">
      <alignment horizontal="center" wrapText="1"/>
    </xf>
    <xf numFmtId="165" fontId="4" fillId="2" borderId="29" xfId="1" applyNumberFormat="1" applyFont="1" applyFill="1" applyBorder="1" applyAlignment="1">
      <alignment vertical="center" wrapText="1"/>
    </xf>
    <xf numFmtId="165" fontId="4" fillId="2" borderId="5" xfId="1" applyNumberFormat="1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165" fontId="4" fillId="2" borderId="15" xfId="1" applyNumberFormat="1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4" fontId="4" fillId="2" borderId="9" xfId="1" applyNumberFormat="1" applyFont="1" applyFill="1" applyBorder="1" applyAlignment="1">
      <alignment horizontal="center" vertical="center"/>
    </xf>
    <xf numFmtId="4" fontId="6" fillId="2" borderId="1" xfId="1" applyNumberFormat="1" applyFont="1" applyFill="1" applyBorder="1" applyAlignment="1">
      <alignment horizontal="right"/>
    </xf>
    <xf numFmtId="0" fontId="9" fillId="2" borderId="4" xfId="0" applyFont="1" applyFill="1" applyBorder="1" applyAlignment="1">
      <alignment wrapText="1"/>
    </xf>
    <xf numFmtId="0" fontId="9" fillId="2" borderId="19" xfId="0" applyFont="1" applyFill="1" applyBorder="1" applyAlignment="1">
      <alignment wrapText="1"/>
    </xf>
    <xf numFmtId="0" fontId="9" fillId="2" borderId="2" xfId="0" applyFont="1" applyFill="1" applyBorder="1"/>
    <xf numFmtId="0" fontId="9" fillId="2" borderId="19" xfId="0" applyFont="1" applyFill="1" applyBorder="1"/>
    <xf numFmtId="0" fontId="9" fillId="2" borderId="24" xfId="0" applyFont="1" applyFill="1" applyBorder="1" applyAlignment="1">
      <alignment wrapText="1"/>
    </xf>
    <xf numFmtId="0" fontId="9" fillId="2" borderId="25" xfId="0" applyFont="1" applyFill="1" applyBorder="1" applyAlignment="1">
      <alignment wrapText="1"/>
    </xf>
    <xf numFmtId="4" fontId="9" fillId="2" borderId="4" xfId="0" applyNumberFormat="1" applyFont="1" applyFill="1" applyBorder="1" applyAlignment="1">
      <alignment wrapText="1"/>
    </xf>
    <xf numFmtId="4" fontId="10" fillId="2" borderId="1" xfId="0" applyNumberFormat="1" applyFont="1" applyFill="1" applyBorder="1"/>
    <xf numFmtId="4" fontId="10" fillId="2" borderId="4" xfId="0" applyNumberFormat="1" applyFont="1" applyFill="1" applyBorder="1"/>
    <xf numFmtId="4" fontId="6" fillId="2" borderId="1" xfId="1" applyNumberFormat="1" applyFont="1" applyFill="1" applyBorder="1" applyAlignment="1"/>
    <xf numFmtId="4" fontId="6" fillId="2" borderId="4" xfId="1" applyNumberFormat="1" applyFont="1" applyFill="1" applyBorder="1" applyAlignment="1"/>
    <xf numFmtId="4" fontId="10" fillId="2" borderId="17" xfId="0" applyNumberFormat="1" applyFont="1" applyFill="1" applyBorder="1" applyAlignment="1">
      <alignment wrapText="1"/>
    </xf>
    <xf numFmtId="4" fontId="6" fillId="3" borderId="1" xfId="1" applyNumberFormat="1" applyFont="1" applyFill="1" applyBorder="1" applyAlignment="1">
      <alignment horizontal="right"/>
    </xf>
    <xf numFmtId="4" fontId="6" fillId="3" borderId="1" xfId="1" applyNumberFormat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right" vertical="center"/>
    </xf>
    <xf numFmtId="4" fontId="8" fillId="2" borderId="17" xfId="1" applyNumberFormat="1" applyFont="1" applyFill="1" applyBorder="1" applyAlignment="1">
      <alignment horizontal="right"/>
    </xf>
    <xf numFmtId="4" fontId="6" fillId="3" borderId="17" xfId="1" applyNumberFormat="1" applyFont="1" applyFill="1" applyBorder="1" applyAlignment="1">
      <alignment horizontal="right"/>
    </xf>
    <xf numFmtId="4" fontId="5" fillId="3" borderId="17" xfId="1" applyNumberFormat="1" applyFont="1" applyFill="1" applyBorder="1" applyAlignment="1">
      <alignment horizontal="right"/>
    </xf>
    <xf numFmtId="4" fontId="10" fillId="2" borderId="18" xfId="0" applyNumberFormat="1" applyFont="1" applyFill="1" applyBorder="1" applyAlignment="1">
      <alignment wrapText="1"/>
    </xf>
    <xf numFmtId="4" fontId="10" fillId="2" borderId="12" xfId="0" applyNumberFormat="1" applyFont="1" applyFill="1" applyBorder="1" applyAlignment="1">
      <alignment wrapText="1"/>
    </xf>
    <xf numFmtId="4" fontId="10" fillId="2" borderId="21" xfId="0" applyNumberFormat="1" applyFont="1" applyFill="1" applyBorder="1" applyAlignment="1">
      <alignment wrapText="1"/>
    </xf>
    <xf numFmtId="4" fontId="10" fillId="2" borderId="22" xfId="0" applyNumberFormat="1" applyFont="1" applyFill="1" applyBorder="1" applyAlignment="1">
      <alignment wrapText="1"/>
    </xf>
    <xf numFmtId="4" fontId="10" fillId="2" borderId="23" xfId="0" applyNumberFormat="1" applyFont="1" applyFill="1" applyBorder="1" applyAlignment="1">
      <alignment wrapText="1"/>
    </xf>
    <xf numFmtId="0" fontId="10" fillId="2" borderId="0" xfId="0" applyFont="1" applyFill="1" applyAlignment="1">
      <alignment horizontal="center"/>
    </xf>
    <xf numFmtId="1" fontId="3" fillId="2" borderId="26" xfId="1" applyNumberFormat="1" applyFont="1" applyFill="1" applyBorder="1" applyAlignment="1">
      <alignment horizontal="center" wrapText="1"/>
    </xf>
    <xf numFmtId="4" fontId="4" fillId="2" borderId="38" xfId="1" applyNumberFormat="1" applyFont="1" applyFill="1" applyBorder="1" applyAlignment="1">
      <alignment horizontal="center" vertical="center" wrapText="1"/>
    </xf>
    <xf numFmtId="4" fontId="4" fillId="2" borderId="36" xfId="1" applyNumberFormat="1" applyFont="1" applyFill="1" applyBorder="1" applyAlignment="1">
      <alignment horizontal="center" vertical="center" wrapText="1"/>
    </xf>
    <xf numFmtId="165" fontId="4" fillId="2" borderId="36" xfId="1" applyNumberFormat="1" applyFont="1" applyFill="1" applyBorder="1" applyAlignment="1">
      <alignment vertical="center" wrapText="1"/>
    </xf>
    <xf numFmtId="165" fontId="4" fillId="2" borderId="23" xfId="1" applyNumberFormat="1" applyFont="1" applyFill="1" applyBorder="1" applyAlignment="1">
      <alignment vertical="center" wrapText="1"/>
    </xf>
    <xf numFmtId="1" fontId="3" fillId="2" borderId="9" xfId="1" applyNumberFormat="1" applyFont="1" applyFill="1" applyBorder="1" applyAlignment="1">
      <alignment horizontal="center" wrapText="1"/>
    </xf>
    <xf numFmtId="1" fontId="6" fillId="2" borderId="17" xfId="1" applyNumberFormat="1" applyFont="1" applyFill="1" applyBorder="1" applyAlignment="1">
      <alignment horizontal="center"/>
    </xf>
    <xf numFmtId="1" fontId="6" fillId="2" borderId="17" xfId="1" applyNumberFormat="1" applyFont="1" applyFill="1" applyBorder="1" applyAlignment="1"/>
    <xf numFmtId="1" fontId="6" fillId="3" borderId="17" xfId="1" applyNumberFormat="1" applyFont="1" applyFill="1" applyBorder="1" applyAlignment="1">
      <alignment horizontal="center"/>
    </xf>
    <xf numFmtId="1" fontId="6" fillId="3" borderId="17" xfId="1" applyNumberFormat="1" applyFont="1" applyFill="1" applyBorder="1" applyAlignment="1">
      <alignment horizontal="center" wrapText="1"/>
    </xf>
    <xf numFmtId="1" fontId="6" fillId="3" borderId="17" xfId="1" applyNumberFormat="1" applyFont="1" applyFill="1" applyBorder="1" applyAlignment="1">
      <alignment horizontal="right"/>
    </xf>
    <xf numFmtId="1" fontId="6" fillId="2" borderId="17" xfId="1" applyNumberFormat="1" applyFont="1" applyFill="1" applyBorder="1" applyAlignment="1">
      <alignment horizontal="right"/>
    </xf>
    <xf numFmtId="4" fontId="10" fillId="2" borderId="37" xfId="0" applyNumberFormat="1" applyFont="1" applyFill="1" applyBorder="1" applyAlignment="1">
      <alignment wrapText="1"/>
    </xf>
    <xf numFmtId="4" fontId="10" fillId="2" borderId="36" xfId="0" applyNumberFormat="1" applyFont="1" applyFill="1" applyBorder="1"/>
    <xf numFmtId="4" fontId="9" fillId="2" borderId="36" xfId="0" applyNumberFormat="1" applyFont="1" applyFill="1" applyBorder="1"/>
    <xf numFmtId="4" fontId="10" fillId="2" borderId="37" xfId="0" applyNumberFormat="1" applyFont="1" applyFill="1" applyBorder="1"/>
    <xf numFmtId="1" fontId="3" fillId="2" borderId="32" xfId="1" applyNumberFormat="1" applyFont="1" applyFill="1" applyBorder="1" applyAlignment="1">
      <alignment horizontal="center" wrapText="1"/>
    </xf>
    <xf numFmtId="1" fontId="3" fillId="2" borderId="33" xfId="1" applyNumberFormat="1" applyFont="1" applyFill="1" applyBorder="1" applyAlignment="1">
      <alignment horizont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1" fontId="3" fillId="2" borderId="4" xfId="1" applyNumberFormat="1" applyFont="1" applyFill="1" applyBorder="1" applyAlignment="1">
      <alignment horizontal="center" wrapText="1"/>
    </xf>
    <xf numFmtId="1" fontId="3" fillId="2" borderId="36" xfId="1" applyNumberFormat="1" applyFont="1" applyFill="1" applyBorder="1" applyAlignment="1">
      <alignment horizontal="center" wrapText="1"/>
    </xf>
    <xf numFmtId="1" fontId="3" fillId="2" borderId="37" xfId="1" applyNumberFormat="1" applyFont="1" applyFill="1" applyBorder="1" applyAlignment="1">
      <alignment horizontal="center" wrapText="1"/>
    </xf>
    <xf numFmtId="4" fontId="3" fillId="2" borderId="9" xfId="1" applyNumberFormat="1" applyFont="1" applyFill="1" applyBorder="1" applyAlignment="1">
      <alignment horizontal="center"/>
    </xf>
    <xf numFmtId="4" fontId="3" fillId="2" borderId="38" xfId="1" applyNumberFormat="1" applyFont="1" applyFill="1" applyBorder="1" applyAlignment="1">
      <alignment horizontal="center"/>
    </xf>
    <xf numFmtId="1" fontId="15" fillId="2" borderId="17" xfId="1" applyNumberFormat="1" applyFont="1" applyFill="1" applyBorder="1" applyAlignment="1">
      <alignment horizontal="center"/>
    </xf>
    <xf numFmtId="4" fontId="15" fillId="2" borderId="1" xfId="1" applyNumberFormat="1" applyFont="1" applyFill="1" applyBorder="1" applyAlignment="1"/>
    <xf numFmtId="4" fontId="15" fillId="2" borderId="4" xfId="1" applyNumberFormat="1" applyFont="1" applyFill="1" applyBorder="1" applyAlignment="1"/>
    <xf numFmtId="4" fontId="6" fillId="2" borderId="1" xfId="1" applyNumberFormat="1" applyFont="1" applyFill="1" applyBorder="1" applyAlignment="1">
      <alignment horizontal="center" wrapText="1"/>
    </xf>
    <xf numFmtId="4" fontId="6" fillId="2" borderId="1" xfId="1" applyNumberFormat="1" applyFont="1" applyFill="1" applyBorder="1" applyAlignment="1">
      <alignment horizontal="left" wrapText="1"/>
    </xf>
    <xf numFmtId="4" fontId="15" fillId="2" borderId="1" xfId="1" applyNumberFormat="1" applyFont="1" applyFill="1" applyBorder="1" applyAlignment="1">
      <alignment horizontal="right"/>
    </xf>
    <xf numFmtId="4" fontId="15" fillId="2" borderId="4" xfId="1" applyNumberFormat="1" applyFont="1" applyFill="1" applyBorder="1" applyAlignment="1">
      <alignment horizontal="right"/>
    </xf>
    <xf numFmtId="1" fontId="15" fillId="2" borderId="1" xfId="1" applyNumberFormat="1" applyFont="1" applyFill="1" applyBorder="1" applyAlignment="1">
      <alignment wrapText="1"/>
    </xf>
    <xf numFmtId="1" fontId="15" fillId="3" borderId="17" xfId="1" applyNumberFormat="1" applyFont="1" applyFill="1" applyBorder="1" applyAlignment="1">
      <alignment horizontal="center"/>
    </xf>
    <xf numFmtId="1" fontId="15" fillId="3" borderId="1" xfId="1" applyNumberFormat="1" applyFont="1" applyFill="1" applyBorder="1" applyAlignment="1">
      <alignment wrapText="1"/>
    </xf>
    <xf numFmtId="4" fontId="15" fillId="3" borderId="1" xfId="1" applyNumberFormat="1" applyFont="1" applyFill="1" applyBorder="1" applyAlignment="1">
      <alignment horizontal="center" vertical="center" wrapText="1"/>
    </xf>
    <xf numFmtId="1" fontId="15" fillId="3" borderId="1" xfId="1" applyNumberFormat="1" applyFont="1" applyFill="1" applyBorder="1" applyAlignment="1">
      <alignment horizontal="left" wrapText="1"/>
    </xf>
    <xf numFmtId="1" fontId="15" fillId="2" borderId="1" xfId="1" applyNumberFormat="1" applyFont="1" applyFill="1" applyBorder="1" applyAlignment="1">
      <alignment horizontal="left" wrapText="1"/>
    </xf>
    <xf numFmtId="1" fontId="6" fillId="2" borderId="1" xfId="1" applyNumberFormat="1" applyFont="1" applyFill="1" applyBorder="1" applyAlignment="1">
      <alignment horizontal="center" wrapText="1"/>
    </xf>
    <xf numFmtId="4" fontId="6" fillId="2" borderId="1" xfId="1" applyNumberFormat="1" applyFont="1" applyFill="1" applyBorder="1" applyAlignment="1">
      <alignment horizontal="right" wrapText="1"/>
    </xf>
    <xf numFmtId="1" fontId="6" fillId="2" borderId="17" xfId="1" applyNumberFormat="1" applyFont="1" applyFill="1" applyBorder="1" applyAlignment="1">
      <alignment horizontal="center" wrapText="1"/>
    </xf>
    <xf numFmtId="1" fontId="6" fillId="2" borderId="22" xfId="1" applyNumberFormat="1" applyFont="1" applyFill="1" applyBorder="1" applyAlignment="1">
      <alignment horizontal="center" wrapText="1"/>
    </xf>
    <xf numFmtId="1" fontId="6" fillId="2" borderId="36" xfId="1" applyNumberFormat="1" applyFont="1" applyFill="1" applyBorder="1" applyAlignment="1">
      <alignment horizontal="center" wrapText="1"/>
    </xf>
    <xf numFmtId="4" fontId="6" fillId="2" borderId="0" xfId="1" applyNumberFormat="1" applyFont="1" applyFill="1" applyAlignment="1">
      <alignment horizontal="left"/>
    </xf>
    <xf numFmtId="4" fontId="6" fillId="2" borderId="3" xfId="1" applyNumberFormat="1" applyFont="1" applyFill="1" applyBorder="1" applyAlignment="1">
      <alignment horizontal="right" wrapText="1"/>
    </xf>
    <xf numFmtId="4" fontId="5" fillId="2" borderId="13" xfId="1" applyNumberFormat="1" applyFont="1" applyFill="1" applyBorder="1" applyAlignment="1">
      <alignment horizontal="left"/>
    </xf>
    <xf numFmtId="4" fontId="5" fillId="2" borderId="14" xfId="1" applyNumberFormat="1" applyFont="1" applyFill="1" applyBorder="1" applyAlignment="1">
      <alignment horizontal="center"/>
    </xf>
    <xf numFmtId="4" fontId="6" fillId="2" borderId="3" xfId="1" applyNumberFormat="1" applyFont="1" applyFill="1" applyBorder="1" applyAlignment="1">
      <alignment horizontal="center" wrapText="1"/>
    </xf>
    <xf numFmtId="165" fontId="4" fillId="2" borderId="39" xfId="1" applyNumberFormat="1" applyFont="1" applyFill="1" applyBorder="1" applyAlignment="1">
      <alignment vertical="center" wrapText="1"/>
    </xf>
    <xf numFmtId="165" fontId="4" fillId="2" borderId="40" xfId="1" applyNumberFormat="1" applyFont="1" applyFill="1" applyBorder="1" applyAlignment="1">
      <alignment vertical="center" wrapText="1"/>
    </xf>
    <xf numFmtId="1" fontId="3" fillId="2" borderId="41" xfId="1" applyNumberFormat="1" applyFont="1" applyFill="1" applyBorder="1" applyAlignment="1">
      <alignment horizontal="center" wrapText="1"/>
    </xf>
    <xf numFmtId="0" fontId="9" fillId="2" borderId="42" xfId="0" applyFont="1" applyFill="1" applyBorder="1" applyAlignment="1">
      <alignment wrapText="1"/>
    </xf>
    <xf numFmtId="4" fontId="10" fillId="2" borderId="42" xfId="0" applyNumberFormat="1" applyFont="1" applyFill="1" applyBorder="1" applyAlignment="1">
      <alignment wrapText="1"/>
    </xf>
    <xf numFmtId="4" fontId="9" fillId="2" borderId="42" xfId="0" applyNumberFormat="1" applyFont="1" applyFill="1" applyBorder="1" applyAlignment="1">
      <alignment wrapText="1"/>
    </xf>
    <xf numFmtId="4" fontId="8" fillId="2" borderId="42" xfId="1" applyNumberFormat="1" applyFont="1" applyFill="1" applyBorder="1" applyAlignment="1">
      <alignment horizontal="right"/>
    </xf>
    <xf numFmtId="4" fontId="6" fillId="3" borderId="42" xfId="1" applyNumberFormat="1" applyFont="1" applyFill="1" applyBorder="1" applyAlignment="1">
      <alignment horizontal="right"/>
    </xf>
    <xf numFmtId="4" fontId="5" fillId="3" borderId="42" xfId="1" applyNumberFormat="1" applyFont="1" applyFill="1" applyBorder="1" applyAlignment="1">
      <alignment horizontal="right"/>
    </xf>
    <xf numFmtId="4" fontId="10" fillId="2" borderId="43" xfId="0" applyNumberFormat="1" applyFont="1" applyFill="1" applyBorder="1" applyAlignment="1">
      <alignment wrapText="1"/>
    </xf>
    <xf numFmtId="4" fontId="10" fillId="2" borderId="44" xfId="0" applyNumberFormat="1" applyFont="1" applyFill="1" applyBorder="1" applyAlignment="1">
      <alignment wrapText="1"/>
    </xf>
    <xf numFmtId="0" fontId="6" fillId="2" borderId="16" xfId="0" applyFont="1" applyFill="1" applyBorder="1"/>
    <xf numFmtId="0" fontId="5" fillId="2" borderId="16" xfId="0" applyFont="1" applyFill="1" applyBorder="1" applyAlignment="1"/>
    <xf numFmtId="4" fontId="3" fillId="2" borderId="13" xfId="1" applyNumberFormat="1" applyFont="1" applyFill="1" applyBorder="1" applyAlignment="1">
      <alignment horizontal="center"/>
    </xf>
    <xf numFmtId="1" fontId="3" fillId="2" borderId="26" xfId="1" applyNumberFormat="1" applyFont="1" applyFill="1" applyBorder="1" applyAlignment="1">
      <alignment horizontal="center"/>
    </xf>
    <xf numFmtId="4" fontId="5" fillId="2" borderId="14" xfId="1" applyNumberFormat="1" applyFont="1" applyFill="1" applyBorder="1" applyAlignment="1">
      <alignment horizontal="center" vertical="center"/>
    </xf>
    <xf numFmtId="4" fontId="6" fillId="2" borderId="16" xfId="1" applyNumberFormat="1" applyFont="1" applyFill="1" applyBorder="1" applyAlignment="1"/>
    <xf numFmtId="4" fontId="5" fillId="2" borderId="16" xfId="1" applyNumberFormat="1" applyFont="1" applyFill="1" applyBorder="1" applyAlignment="1"/>
    <xf numFmtId="0" fontId="8" fillId="2" borderId="16" xfId="1" applyFont="1" applyFill="1" applyBorder="1" applyAlignment="1"/>
    <xf numFmtId="0" fontId="0" fillId="2" borderId="16" xfId="0" applyFill="1" applyBorder="1" applyAlignment="1">
      <alignment horizontal="center" wrapText="1"/>
    </xf>
    <xf numFmtId="1" fontId="6" fillId="2" borderId="17" xfId="1" applyNumberFormat="1" applyFont="1" applyFill="1" applyBorder="1" applyAlignment="1">
      <alignment wrapText="1"/>
    </xf>
    <xf numFmtId="1" fontId="6" fillId="2" borderId="1" xfId="1" applyNumberFormat="1" applyFont="1" applyFill="1" applyBorder="1" applyAlignment="1">
      <alignment wrapText="1"/>
    </xf>
    <xf numFmtId="1" fontId="6" fillId="2" borderId="4" xfId="1" applyNumberFormat="1" applyFont="1" applyFill="1" applyBorder="1" applyAlignment="1">
      <alignment wrapText="1"/>
    </xf>
    <xf numFmtId="1" fontId="6" fillId="2" borderId="1" xfId="1" applyNumberFormat="1" applyFont="1" applyFill="1" applyBorder="1" applyAlignment="1">
      <alignment horizontal="left" wrapText="1"/>
    </xf>
    <xf numFmtId="0" fontId="5" fillId="2" borderId="0" xfId="1" applyFont="1" applyFill="1" applyBorder="1" applyAlignment="1">
      <alignment horizontal="center"/>
    </xf>
    <xf numFmtId="0" fontId="5" fillId="2" borderId="0" xfId="0" applyFont="1" applyFill="1"/>
    <xf numFmtId="0" fontId="5" fillId="2" borderId="0" xfId="1" applyFont="1" applyFill="1" applyAlignment="1">
      <alignment horizontal="center" wrapText="1"/>
    </xf>
    <xf numFmtId="0" fontId="6" fillId="2" borderId="0" xfId="0" applyFont="1" applyFill="1"/>
    <xf numFmtId="1" fontId="6" fillId="2" borderId="17" xfId="1" applyNumberFormat="1" applyFont="1" applyFill="1" applyBorder="1" applyAlignment="1">
      <alignment horizontal="left" wrapText="1"/>
    </xf>
    <xf numFmtId="1" fontId="6" fillId="2" borderId="17" xfId="1" applyNumberFormat="1" applyFont="1" applyFill="1" applyBorder="1" applyAlignment="1">
      <alignment horizontal="center" wrapText="1"/>
    </xf>
    <xf numFmtId="1" fontId="6" fillId="2" borderId="1" xfId="1" applyNumberFormat="1" applyFont="1" applyFill="1" applyBorder="1" applyAlignment="1">
      <alignment horizontal="center" wrapText="1"/>
    </xf>
    <xf numFmtId="4" fontId="6" fillId="2" borderId="0" xfId="1" applyNumberFormat="1" applyFont="1" applyFill="1" applyAlignment="1">
      <alignment horizontal="left"/>
    </xf>
    <xf numFmtId="1" fontId="15" fillId="2" borderId="1" xfId="1" applyNumberFormat="1" applyFont="1" applyFill="1" applyBorder="1" applyAlignment="1">
      <alignment horizontal="left" wrapText="1"/>
    </xf>
    <xf numFmtId="0" fontId="6" fillId="2" borderId="1" xfId="1" applyFont="1" applyFill="1" applyBorder="1" applyAlignment="1">
      <alignment horizontal="left" wrapText="1"/>
    </xf>
    <xf numFmtId="1" fontId="6" fillId="3" borderId="1" xfId="1" applyNumberFormat="1" applyFont="1" applyFill="1" applyBorder="1" applyAlignment="1">
      <alignment horizontal="left" wrapText="1"/>
    </xf>
    <xf numFmtId="1" fontId="15" fillId="2" borderId="1" xfId="1" applyNumberFormat="1" applyFont="1" applyFill="1" applyBorder="1" applyAlignment="1">
      <alignment wrapText="1"/>
    </xf>
    <xf numFmtId="0" fontId="6" fillId="3" borderId="1" xfId="1" applyFont="1" applyFill="1" applyBorder="1" applyAlignment="1">
      <alignment horizontal="left" wrapText="1"/>
    </xf>
    <xf numFmtId="1" fontId="6" fillId="3" borderId="17" xfId="1" applyNumberFormat="1" applyFont="1" applyFill="1" applyBorder="1" applyAlignment="1">
      <alignment wrapText="1"/>
    </xf>
    <xf numFmtId="1" fontId="6" fillId="3" borderId="1" xfId="1" applyNumberFormat="1" applyFont="1" applyFill="1" applyBorder="1" applyAlignment="1">
      <alignment wrapText="1"/>
    </xf>
    <xf numFmtId="1" fontId="6" fillId="3" borderId="4" xfId="1" applyNumberFormat="1" applyFont="1" applyFill="1" applyBorder="1" applyAlignment="1">
      <alignment wrapText="1"/>
    </xf>
    <xf numFmtId="1" fontId="3" fillId="2" borderId="31" xfId="1" applyNumberFormat="1" applyFont="1" applyFill="1" applyBorder="1" applyAlignment="1">
      <alignment horizontal="center" wrapText="1"/>
    </xf>
    <xf numFmtId="1" fontId="3" fillId="2" borderId="17" xfId="1" applyNumberFormat="1" applyFont="1" applyFill="1" applyBorder="1" applyAlignment="1">
      <alignment horizontal="center" wrapText="1"/>
    </xf>
    <xf numFmtId="1" fontId="3" fillId="2" borderId="22" xfId="1" applyNumberFormat="1" applyFont="1" applyFill="1" applyBorder="1" applyAlignment="1">
      <alignment horizontal="center" wrapText="1"/>
    </xf>
    <xf numFmtId="1" fontId="3" fillId="2" borderId="32" xfId="1" applyNumberFormat="1" applyFont="1" applyFill="1" applyBorder="1" applyAlignment="1">
      <alignment horizontal="center" wrapText="1"/>
    </xf>
    <xf numFmtId="1" fontId="3" fillId="2" borderId="33" xfId="1" applyNumberFormat="1" applyFont="1" applyFill="1" applyBorder="1" applyAlignment="1">
      <alignment horizontal="center" wrapText="1"/>
    </xf>
    <xf numFmtId="1" fontId="3" fillId="2" borderId="1" xfId="1" applyNumberFormat="1" applyFont="1" applyFill="1" applyBorder="1" applyAlignment="1">
      <alignment horizontal="center" wrapText="1"/>
    </xf>
    <xf numFmtId="1" fontId="3" fillId="2" borderId="4" xfId="1" applyNumberFormat="1" applyFont="1" applyFill="1" applyBorder="1" applyAlignment="1">
      <alignment horizontal="center" wrapText="1"/>
    </xf>
    <xf numFmtId="1" fontId="3" fillId="2" borderId="36" xfId="1" applyNumberFormat="1" applyFont="1" applyFill="1" applyBorder="1" applyAlignment="1">
      <alignment horizontal="center" wrapText="1"/>
    </xf>
    <xf numFmtId="1" fontId="3" fillId="2" borderId="37" xfId="1" applyNumberFormat="1" applyFont="1" applyFill="1" applyBorder="1" applyAlignment="1">
      <alignment horizontal="center" wrapText="1"/>
    </xf>
    <xf numFmtId="1" fontId="3" fillId="2" borderId="26" xfId="1" applyNumberFormat="1" applyFont="1" applyFill="1" applyBorder="1" applyAlignment="1">
      <alignment horizontal="center" wrapText="1"/>
    </xf>
    <xf numFmtId="1" fontId="3" fillId="2" borderId="30" xfId="1" applyNumberFormat="1" applyFont="1" applyFill="1" applyBorder="1" applyAlignment="1">
      <alignment horizontal="center" wrapText="1"/>
    </xf>
    <xf numFmtId="1" fontId="6" fillId="2" borderId="17" xfId="1" applyNumberFormat="1" applyFont="1" applyFill="1" applyBorder="1" applyAlignment="1">
      <alignment horizontal="left"/>
    </xf>
    <xf numFmtId="1" fontId="6" fillId="2" borderId="1" xfId="1" applyNumberFormat="1" applyFont="1" applyFill="1" applyBorder="1" applyAlignment="1">
      <alignment horizontal="left"/>
    </xf>
    <xf numFmtId="1" fontId="6" fillId="3" borderId="17" xfId="1" applyNumberFormat="1" applyFont="1" applyFill="1" applyBorder="1" applyAlignment="1">
      <alignment horizontal="left"/>
    </xf>
    <xf numFmtId="1" fontId="6" fillId="3" borderId="1" xfId="1" applyNumberFormat="1" applyFont="1" applyFill="1" applyBorder="1" applyAlignment="1">
      <alignment horizontal="left"/>
    </xf>
    <xf numFmtId="4" fontId="4" fillId="2" borderId="7" xfId="1" applyNumberFormat="1" applyFont="1" applyFill="1" applyBorder="1" applyAlignment="1">
      <alignment horizontal="center" vertical="center" wrapText="1"/>
    </xf>
    <xf numFmtId="4" fontId="4" fillId="2" borderId="29" xfId="1" applyNumberFormat="1" applyFont="1" applyFill="1" applyBorder="1" applyAlignment="1">
      <alignment horizontal="center" vertical="center" wrapText="1"/>
    </xf>
    <xf numFmtId="4" fontId="4" fillId="2" borderId="34" xfId="1" applyNumberFormat="1" applyFont="1" applyFill="1" applyBorder="1" applyAlignment="1">
      <alignment horizontal="center" vertical="center" wrapText="1"/>
    </xf>
    <xf numFmtId="4" fontId="4" fillId="2" borderId="27" xfId="1" applyNumberFormat="1" applyFont="1" applyFill="1" applyBorder="1" applyAlignment="1">
      <alignment horizontal="center" vertical="center" wrapText="1"/>
    </xf>
    <xf numFmtId="4" fontId="4" fillId="2" borderId="28" xfId="1" applyNumberFormat="1" applyFont="1" applyFill="1" applyBorder="1" applyAlignment="1">
      <alignment horizontal="center" vertical="center" wrapText="1"/>
    </xf>
    <xf numFmtId="4" fontId="4" fillId="2" borderId="35" xfId="1" applyNumberFormat="1" applyFont="1" applyFill="1" applyBorder="1" applyAlignment="1">
      <alignment horizontal="center" vertical="center" wrapText="1"/>
    </xf>
    <xf numFmtId="0" fontId="14" fillId="2" borderId="32" xfId="0" applyFont="1" applyFill="1" applyBorder="1" applyAlignment="1">
      <alignment horizontal="center" wrapText="1"/>
    </xf>
    <xf numFmtId="4" fontId="3" fillId="2" borderId="10" xfId="1" applyNumberFormat="1" applyFont="1" applyFill="1" applyBorder="1" applyAlignment="1">
      <alignment horizontal="center" vertical="center" wrapText="1"/>
    </xf>
    <xf numFmtId="4" fontId="3" fillId="2" borderId="11" xfId="1" applyNumberFormat="1" applyFont="1" applyFill="1" applyBorder="1" applyAlignment="1">
      <alignment horizontal="center" vertical="center" wrapText="1"/>
    </xf>
    <xf numFmtId="4" fontId="3" fillId="2" borderId="31" xfId="1" applyNumberFormat="1" applyFont="1" applyFill="1" applyBorder="1" applyAlignment="1">
      <alignment horizontal="center" vertical="center" wrapText="1"/>
    </xf>
    <xf numFmtId="4" fontId="3" fillId="2" borderId="22" xfId="1" applyNumberFormat="1" applyFont="1" applyFill="1" applyBorder="1" applyAlignment="1">
      <alignment horizontal="center" vertical="center" wrapText="1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X166"/>
  <sheetViews>
    <sheetView tabSelected="1" zoomScale="73" zoomScaleNormal="73" workbookViewId="0">
      <pane xSplit="3" topLeftCell="D1" activePane="topRight" state="frozen"/>
      <selection pane="topRight" activeCell="Z7" sqref="Z7"/>
    </sheetView>
  </sheetViews>
  <sheetFormatPr defaultRowHeight="14.25" x14ac:dyDescent="0.2"/>
  <cols>
    <col min="1" max="1" width="1.75" customWidth="1"/>
    <col min="2" max="2" width="2.75" customWidth="1"/>
    <col min="3" max="3" width="1.75" customWidth="1"/>
    <col min="4" max="4" width="6.125" customWidth="1"/>
    <col min="5" max="5" width="39.25" customWidth="1"/>
    <col min="6" max="6" width="37.375" customWidth="1"/>
    <col min="7" max="7" width="20" style="27" hidden="1" customWidth="1"/>
    <col min="8" max="8" width="16.375" style="27" hidden="1" customWidth="1"/>
    <col min="9" max="9" width="20.375" style="27" hidden="1" customWidth="1"/>
    <col min="10" max="10" width="15.75" style="27" hidden="1" customWidth="1"/>
    <col min="11" max="11" width="20.375" style="27" bestFit="1" customWidth="1"/>
    <col min="12" max="12" width="21.125" style="27" customWidth="1"/>
    <col min="13" max="13" width="20.625" style="28" bestFit="1" customWidth="1"/>
    <col min="14" max="14" width="16.875" style="27" hidden="1" customWidth="1"/>
    <col min="15" max="15" width="17.125" style="27" hidden="1" customWidth="1"/>
    <col min="16" max="16" width="11.75" style="27" hidden="1" customWidth="1"/>
    <col min="17" max="17" width="17.625" style="27" hidden="1" customWidth="1"/>
    <col min="18" max="18" width="7.875" style="27" hidden="1" customWidth="1"/>
    <col min="19" max="19" width="17.75" style="27" hidden="1" customWidth="1"/>
    <col min="20" max="20" width="17.5" style="27" hidden="1" customWidth="1"/>
    <col min="21" max="21" width="18.25" style="27" hidden="1" customWidth="1"/>
    <col min="22" max="22" width="13.125" hidden="1" customWidth="1"/>
    <col min="23" max="24" width="0" hidden="1" customWidth="1"/>
  </cols>
  <sheetData>
    <row r="1" spans="1:21" x14ac:dyDescent="0.2">
      <c r="A1" s="27"/>
      <c r="B1" s="27"/>
      <c r="C1" s="27"/>
      <c r="D1" s="27"/>
      <c r="E1" s="27"/>
      <c r="F1" s="27"/>
    </row>
    <row r="2" spans="1:21" x14ac:dyDescent="0.2">
      <c r="A2" s="27"/>
      <c r="B2" s="27"/>
      <c r="C2" s="27"/>
      <c r="D2" s="27"/>
      <c r="E2" s="27"/>
      <c r="F2" s="27"/>
      <c r="M2" s="145" t="s">
        <v>117</v>
      </c>
    </row>
    <row r="3" spans="1:21" ht="18.75" x14ac:dyDescent="0.3">
      <c r="A3" s="151" t="s">
        <v>92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39"/>
      <c r="M3" s="145"/>
      <c r="N3" s="39"/>
      <c r="O3" s="39"/>
      <c r="P3" s="39"/>
      <c r="Q3" s="4"/>
      <c r="R3" s="4"/>
      <c r="S3" s="5"/>
    </row>
    <row r="4" spans="1:21" ht="18.75" x14ac:dyDescent="0.3">
      <c r="A4" s="23"/>
      <c r="B4" s="23"/>
      <c r="C4" s="23"/>
      <c r="D4" s="23"/>
      <c r="E4" s="23"/>
      <c r="F4" s="23"/>
      <c r="G4" s="40"/>
      <c r="H4" s="40"/>
      <c r="I4" s="40"/>
      <c r="J4" s="40"/>
      <c r="K4" s="40"/>
      <c r="L4" s="40"/>
      <c r="M4" s="145"/>
      <c r="N4" s="40"/>
      <c r="O4" s="40"/>
      <c r="P4" s="40"/>
      <c r="Q4" s="4"/>
      <c r="R4" s="4"/>
      <c r="S4" s="5"/>
    </row>
    <row r="5" spans="1:21" ht="18" x14ac:dyDescent="0.25">
      <c r="A5" s="152" t="s">
        <v>85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</row>
    <row r="6" spans="1:21" ht="18" x14ac:dyDescent="0.25">
      <c r="A6" s="152" t="s">
        <v>94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</row>
    <row r="7" spans="1:21" ht="18.75" x14ac:dyDescent="0.3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41"/>
      <c r="M7" s="137"/>
      <c r="N7" s="41"/>
      <c r="O7" s="41"/>
      <c r="P7" s="41"/>
      <c r="Q7" s="4"/>
      <c r="R7" s="4"/>
      <c r="S7" s="5"/>
    </row>
    <row r="8" spans="1:21" ht="18.75" thickBot="1" x14ac:dyDescent="0.3">
      <c r="A8" s="3" t="s">
        <v>93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138"/>
      <c r="N8" s="3"/>
      <c r="O8" s="3"/>
      <c r="P8" s="3"/>
      <c r="Q8" s="3"/>
      <c r="R8" s="3"/>
      <c r="S8" s="3"/>
    </row>
    <row r="9" spans="1:21" ht="33" customHeight="1" thickBot="1" x14ac:dyDescent="0.3">
      <c r="A9" s="3"/>
      <c r="B9" s="3"/>
      <c r="C9" s="3"/>
      <c r="D9" s="166" t="s">
        <v>81</v>
      </c>
      <c r="E9" s="169" t="s">
        <v>83</v>
      </c>
      <c r="F9" s="170"/>
      <c r="G9" s="95"/>
      <c r="H9" s="95"/>
      <c r="I9" s="95"/>
      <c r="J9" s="96"/>
      <c r="K9" s="188" t="s">
        <v>100</v>
      </c>
      <c r="L9" s="188" t="s">
        <v>95</v>
      </c>
      <c r="M9" s="190" t="s">
        <v>101</v>
      </c>
      <c r="N9" s="187" t="s">
        <v>110</v>
      </c>
      <c r="O9" s="187"/>
      <c r="P9" s="48"/>
      <c r="Q9" s="1"/>
      <c r="R9" s="1"/>
      <c r="S9" s="181" t="s">
        <v>104</v>
      </c>
      <c r="T9" s="182"/>
      <c r="U9" s="183"/>
    </row>
    <row r="10" spans="1:21" ht="63.75" thickBot="1" x14ac:dyDescent="0.3">
      <c r="A10" s="6"/>
      <c r="B10" s="6"/>
      <c r="C10" s="6"/>
      <c r="D10" s="167"/>
      <c r="E10" s="171"/>
      <c r="F10" s="172"/>
      <c r="G10" s="97" t="s">
        <v>98</v>
      </c>
      <c r="H10" s="97" t="s">
        <v>105</v>
      </c>
      <c r="I10" s="47" t="s">
        <v>99</v>
      </c>
      <c r="J10" s="98" t="s">
        <v>97</v>
      </c>
      <c r="K10" s="189"/>
      <c r="L10" s="189"/>
      <c r="M10" s="191"/>
      <c r="N10" s="126" t="s">
        <v>102</v>
      </c>
      <c r="O10" s="49" t="s">
        <v>103</v>
      </c>
      <c r="P10" s="50"/>
      <c r="Q10" s="1" t="s">
        <v>109</v>
      </c>
      <c r="R10" s="2"/>
      <c r="S10" s="184"/>
      <c r="T10" s="185"/>
      <c r="U10" s="186"/>
    </row>
    <row r="11" spans="1:21" ht="84" customHeight="1" thickBot="1" x14ac:dyDescent="0.3">
      <c r="A11" s="6"/>
      <c r="B11" s="6"/>
      <c r="C11" s="6"/>
      <c r="D11" s="168"/>
      <c r="E11" s="173"/>
      <c r="F11" s="174"/>
      <c r="G11" s="99" t="s">
        <v>80</v>
      </c>
      <c r="H11" s="99" t="s">
        <v>80</v>
      </c>
      <c r="I11" s="99" t="s">
        <v>80</v>
      </c>
      <c r="J11" s="100"/>
      <c r="K11" s="101" t="s">
        <v>80</v>
      </c>
      <c r="L11" s="102" t="s">
        <v>80</v>
      </c>
      <c r="M11" s="139" t="s">
        <v>80</v>
      </c>
      <c r="N11" s="127"/>
      <c r="O11" s="51"/>
      <c r="P11" s="52"/>
      <c r="Q11" s="53"/>
      <c r="R11" s="80"/>
      <c r="S11" s="81" t="s">
        <v>108</v>
      </c>
      <c r="T11" s="82" t="s">
        <v>106</v>
      </c>
      <c r="U11" s="83" t="s">
        <v>107</v>
      </c>
    </row>
    <row r="12" spans="1:21" ht="18.75" thickBot="1" x14ac:dyDescent="0.3">
      <c r="A12" s="6"/>
      <c r="B12" s="6"/>
      <c r="C12" s="6"/>
      <c r="D12" s="29">
        <v>1</v>
      </c>
      <c r="E12" s="175">
        <v>2</v>
      </c>
      <c r="F12" s="176"/>
      <c r="G12" s="29">
        <v>3</v>
      </c>
      <c r="H12" s="79">
        <v>4</v>
      </c>
      <c r="I12" s="29">
        <v>5</v>
      </c>
      <c r="J12" s="79">
        <v>6</v>
      </c>
      <c r="K12" s="29">
        <v>7</v>
      </c>
      <c r="L12" s="79">
        <v>8</v>
      </c>
      <c r="M12" s="140">
        <v>9</v>
      </c>
      <c r="N12" s="128">
        <v>10</v>
      </c>
      <c r="O12" s="29">
        <v>11</v>
      </c>
      <c r="P12" s="79">
        <v>12</v>
      </c>
      <c r="Q12" s="29">
        <v>13</v>
      </c>
      <c r="R12" s="79">
        <v>14</v>
      </c>
      <c r="S12" s="29">
        <v>15</v>
      </c>
      <c r="T12" s="29">
        <v>16</v>
      </c>
      <c r="U12" s="84">
        <v>17</v>
      </c>
    </row>
    <row r="13" spans="1:21" ht="18" x14ac:dyDescent="0.25">
      <c r="A13" s="6"/>
      <c r="B13" s="6"/>
      <c r="C13" s="6"/>
      <c r="D13" s="85" t="s">
        <v>79</v>
      </c>
      <c r="E13" s="147" t="s">
        <v>78</v>
      </c>
      <c r="F13" s="147"/>
      <c r="G13" s="42"/>
      <c r="H13" s="42"/>
      <c r="I13" s="42"/>
      <c r="J13" s="25"/>
      <c r="K13" s="54">
        <f>+ROUND(M13/1.19,2)</f>
        <v>0</v>
      </c>
      <c r="L13" s="54">
        <f>+M13-K13</f>
        <v>0</v>
      </c>
      <c r="M13" s="54">
        <v>0</v>
      </c>
      <c r="N13" s="129"/>
      <c r="O13" s="55"/>
      <c r="P13" s="56"/>
      <c r="Q13" s="57"/>
      <c r="R13" s="57"/>
      <c r="S13" s="58"/>
      <c r="T13" s="59"/>
      <c r="U13" s="60"/>
    </row>
    <row r="14" spans="1:21" ht="18" x14ac:dyDescent="0.25">
      <c r="A14" s="6"/>
      <c r="B14" s="6"/>
      <c r="C14" s="6"/>
      <c r="D14" s="85" t="s">
        <v>77</v>
      </c>
      <c r="E14" s="147" t="s">
        <v>76</v>
      </c>
      <c r="F14" s="147"/>
      <c r="G14" s="54">
        <v>492634.04</v>
      </c>
      <c r="H14" s="54">
        <v>93600.467600000004</v>
      </c>
      <c r="I14" s="19">
        <v>586234.50760000001</v>
      </c>
      <c r="J14" s="19"/>
      <c r="K14" s="54">
        <v>492634.04</v>
      </c>
      <c r="L14" s="54">
        <f>K14*19%</f>
        <v>93600.467600000004</v>
      </c>
      <c r="M14" s="54">
        <f>K14+L14</f>
        <v>586234.50760000001</v>
      </c>
      <c r="N14" s="129"/>
      <c r="O14" s="61">
        <v>492634.04</v>
      </c>
      <c r="P14" s="61">
        <f>Q14*19%</f>
        <v>19157.3086</v>
      </c>
      <c r="Q14" s="30">
        <v>100827.94</v>
      </c>
      <c r="R14" s="30">
        <f>S14*19%</f>
        <v>74443.159</v>
      </c>
      <c r="S14" s="34">
        <f>K14-Q14</f>
        <v>391806.1</v>
      </c>
      <c r="T14" s="21"/>
      <c r="U14" s="36">
        <v>391806.1</v>
      </c>
    </row>
    <row r="15" spans="1:21" ht="18" x14ac:dyDescent="0.25">
      <c r="A15" s="6"/>
      <c r="B15" s="6"/>
      <c r="C15" s="6"/>
      <c r="D15" s="85" t="s">
        <v>75</v>
      </c>
      <c r="E15" s="149" t="s">
        <v>74</v>
      </c>
      <c r="F15" s="149"/>
      <c r="G15" s="43"/>
      <c r="H15" s="43"/>
      <c r="I15" s="43"/>
      <c r="J15" s="43"/>
      <c r="K15" s="54">
        <f>+ROUND(M15/1.19,2)</f>
        <v>0</v>
      </c>
      <c r="L15" s="54">
        <f>+M15-K15</f>
        <v>0</v>
      </c>
      <c r="M15" s="54">
        <v>0</v>
      </c>
      <c r="N15" s="129"/>
      <c r="O15" s="26"/>
      <c r="P15" s="26"/>
      <c r="Q15" s="30"/>
      <c r="R15" s="30"/>
      <c r="S15" s="34"/>
      <c r="T15" s="21"/>
      <c r="U15" s="32"/>
    </row>
    <row r="16" spans="1:21" ht="18" x14ac:dyDescent="0.25">
      <c r="A16" s="6"/>
      <c r="B16" s="6"/>
      <c r="C16" s="6"/>
      <c r="D16" s="177" t="s">
        <v>73</v>
      </c>
      <c r="E16" s="178"/>
      <c r="F16" s="178"/>
      <c r="G16" s="54">
        <f>G12+G13+G14+G15</f>
        <v>492637.04</v>
      </c>
      <c r="H16" s="54">
        <f>H12+H13+H14+H15</f>
        <v>93604.467600000004</v>
      </c>
      <c r="I16" s="19">
        <f>I12+I13+I14+I15</f>
        <v>586239.50760000001</v>
      </c>
      <c r="J16" s="19"/>
      <c r="K16" s="54">
        <f>K12+K13+K14+K15</f>
        <v>492641.04</v>
      </c>
      <c r="L16" s="54">
        <f>L12+L13+L14+L15</f>
        <v>93608.467600000004</v>
      </c>
      <c r="M16" s="54">
        <f>M12+M13+M14+M15</f>
        <v>586243.50760000001</v>
      </c>
      <c r="N16" s="129"/>
      <c r="O16" s="26">
        <v>492637.04</v>
      </c>
      <c r="P16" s="26">
        <v>19157.3086</v>
      </c>
      <c r="Q16" s="62">
        <v>100827.94</v>
      </c>
      <c r="R16" s="62">
        <f>SUM(R13:R15)</f>
        <v>74443.159</v>
      </c>
      <c r="S16" s="63">
        <v>391806.1</v>
      </c>
      <c r="T16" s="21"/>
      <c r="U16" s="32">
        <v>391806.1</v>
      </c>
    </row>
    <row r="17" spans="1:21" ht="18" x14ac:dyDescent="0.25">
      <c r="A17" s="6"/>
      <c r="B17" s="6"/>
      <c r="C17" s="6"/>
      <c r="D17" s="86"/>
      <c r="E17" s="7"/>
      <c r="F17" s="42"/>
      <c r="G17" s="42"/>
      <c r="H17" s="42"/>
      <c r="I17" s="42"/>
      <c r="J17" s="42"/>
      <c r="K17" s="64"/>
      <c r="L17" s="64"/>
      <c r="M17" s="64"/>
      <c r="N17" s="129"/>
      <c r="O17" s="26"/>
      <c r="P17" s="26"/>
      <c r="Q17" s="33"/>
      <c r="R17" s="33"/>
      <c r="S17" s="31"/>
      <c r="T17" s="21"/>
      <c r="U17" s="32"/>
    </row>
    <row r="18" spans="1:21" ht="18" x14ac:dyDescent="0.25">
      <c r="A18" s="6"/>
      <c r="B18" s="6"/>
      <c r="C18" s="6"/>
      <c r="D18" s="146" t="s">
        <v>72</v>
      </c>
      <c r="E18" s="147"/>
      <c r="F18" s="147"/>
      <c r="G18" s="147"/>
      <c r="H18" s="147"/>
      <c r="I18" s="147"/>
      <c r="J18" s="147"/>
      <c r="K18" s="147"/>
      <c r="L18" s="147"/>
      <c r="M18" s="148"/>
      <c r="N18" s="129"/>
      <c r="O18" s="26"/>
      <c r="P18" s="26"/>
      <c r="Q18" s="33"/>
      <c r="R18" s="33"/>
      <c r="S18" s="31"/>
      <c r="T18" s="21"/>
      <c r="U18" s="32"/>
    </row>
    <row r="19" spans="1:21" ht="18" x14ac:dyDescent="0.25">
      <c r="A19" s="6"/>
      <c r="B19" s="6"/>
      <c r="C19" s="6"/>
      <c r="D19" s="146" t="s">
        <v>71</v>
      </c>
      <c r="E19" s="147"/>
      <c r="F19" s="147"/>
      <c r="G19" s="147"/>
      <c r="H19" s="147"/>
      <c r="I19" s="147"/>
      <c r="J19" s="147"/>
      <c r="K19" s="147"/>
      <c r="L19" s="147"/>
      <c r="M19" s="148"/>
      <c r="N19" s="129"/>
      <c r="O19" s="26"/>
      <c r="P19" s="26"/>
      <c r="Q19" s="33"/>
      <c r="R19" s="33"/>
      <c r="S19" s="31"/>
      <c r="T19" s="21"/>
      <c r="U19" s="32"/>
    </row>
    <row r="20" spans="1:21" ht="18" x14ac:dyDescent="0.25">
      <c r="A20" s="6"/>
      <c r="B20" s="6"/>
      <c r="C20" s="6"/>
      <c r="D20" s="179" t="s">
        <v>70</v>
      </c>
      <c r="E20" s="180"/>
      <c r="F20" s="180"/>
      <c r="G20" s="67">
        <v>541451.65</v>
      </c>
      <c r="H20" s="67">
        <f>G20*19%</f>
        <v>102875.8135</v>
      </c>
      <c r="I20" s="20">
        <f>G20+H20</f>
        <v>644327.46350000007</v>
      </c>
      <c r="J20" s="20"/>
      <c r="K20" s="67">
        <v>541451.65</v>
      </c>
      <c r="L20" s="67">
        <f>K20*19%</f>
        <v>102875.8135</v>
      </c>
      <c r="M20" s="67">
        <f>K20+L20</f>
        <v>644327.46350000007</v>
      </c>
      <c r="N20" s="130">
        <v>541451.65</v>
      </c>
      <c r="O20" s="26"/>
      <c r="P20" s="26">
        <f>Q20*19%</f>
        <v>22064.705699999999</v>
      </c>
      <c r="Q20" s="62">
        <v>116130.03</v>
      </c>
      <c r="R20" s="62">
        <f>S20*19%</f>
        <v>80811.107799999998</v>
      </c>
      <c r="S20" s="63">
        <f>K20-Q20</f>
        <v>425321.62</v>
      </c>
      <c r="T20" s="66">
        <v>425321.62</v>
      </c>
      <c r="U20" s="32"/>
    </row>
    <row r="21" spans="1:21" ht="18" x14ac:dyDescent="0.25">
      <c r="A21" s="6"/>
      <c r="B21" s="6"/>
      <c r="C21" s="6"/>
      <c r="D21" s="86"/>
      <c r="E21" s="7"/>
      <c r="F21" s="42"/>
      <c r="G21" s="42"/>
      <c r="H21" s="42"/>
      <c r="I21" s="42"/>
      <c r="J21" s="42"/>
      <c r="K21" s="64"/>
      <c r="L21" s="64"/>
      <c r="M21" s="64"/>
      <c r="N21" s="129"/>
      <c r="O21" s="26"/>
      <c r="P21" s="26"/>
      <c r="Q21" s="30"/>
      <c r="R21" s="30"/>
      <c r="S21" s="34"/>
      <c r="T21" s="21"/>
      <c r="U21" s="32"/>
    </row>
    <row r="22" spans="1:21" ht="18" x14ac:dyDescent="0.25">
      <c r="A22" s="6"/>
      <c r="B22" s="6"/>
      <c r="C22" s="6"/>
      <c r="D22" s="146" t="s">
        <v>69</v>
      </c>
      <c r="E22" s="147"/>
      <c r="F22" s="147"/>
      <c r="G22" s="147"/>
      <c r="H22" s="147"/>
      <c r="I22" s="147"/>
      <c r="J22" s="147"/>
      <c r="K22" s="147"/>
      <c r="L22" s="147"/>
      <c r="M22" s="148"/>
      <c r="N22" s="129"/>
      <c r="O22" s="26"/>
      <c r="P22" s="26"/>
      <c r="Q22" s="33"/>
      <c r="R22" s="33"/>
      <c r="S22" s="31"/>
      <c r="T22" s="21"/>
      <c r="U22" s="32"/>
    </row>
    <row r="23" spans="1:21" ht="18" x14ac:dyDescent="0.25">
      <c r="A23" s="6"/>
      <c r="B23" s="6"/>
      <c r="C23" s="6"/>
      <c r="D23" s="146" t="s">
        <v>68</v>
      </c>
      <c r="E23" s="147"/>
      <c r="F23" s="147"/>
      <c r="G23" s="147"/>
      <c r="H23" s="147"/>
      <c r="I23" s="147"/>
      <c r="J23" s="147"/>
      <c r="K23" s="147"/>
      <c r="L23" s="147"/>
      <c r="M23" s="148"/>
      <c r="N23" s="129"/>
      <c r="O23" s="26"/>
      <c r="P23" s="26"/>
      <c r="Q23" s="33"/>
      <c r="R23" s="33"/>
      <c r="S23" s="31"/>
      <c r="T23" s="21"/>
      <c r="U23" s="32"/>
    </row>
    <row r="24" spans="1:21" ht="18.75" x14ac:dyDescent="0.3">
      <c r="A24" s="6"/>
      <c r="B24" s="6"/>
      <c r="C24" s="6"/>
      <c r="D24" s="103" t="s">
        <v>67</v>
      </c>
      <c r="E24" s="161" t="s">
        <v>66</v>
      </c>
      <c r="F24" s="161"/>
      <c r="G24" s="104">
        <f>G25+G26+G27</f>
        <v>76661</v>
      </c>
      <c r="H24" s="104">
        <f>H25+H26+H27</f>
        <v>14640.59</v>
      </c>
      <c r="I24" s="105">
        <f>I25+I26+I27</f>
        <v>91301.59</v>
      </c>
      <c r="J24" s="105"/>
      <c r="K24" s="104">
        <f>K25+K26+K27</f>
        <v>76661</v>
      </c>
      <c r="L24" s="104">
        <f>L25+L26+L27</f>
        <v>14640.59</v>
      </c>
      <c r="M24" s="104">
        <f>M25+M26+M27</f>
        <v>91301.59</v>
      </c>
      <c r="N24" s="129"/>
      <c r="O24" s="26">
        <v>76661</v>
      </c>
      <c r="P24" s="26">
        <f>Q24*19%</f>
        <v>2873.9494999999997</v>
      </c>
      <c r="Q24" s="30">
        <v>15126.05</v>
      </c>
      <c r="R24" s="62">
        <f>SUM(R25:R27)</f>
        <v>11766.6405</v>
      </c>
      <c r="S24" s="34">
        <f>K24-Q24</f>
        <v>61534.95</v>
      </c>
      <c r="T24" s="21"/>
      <c r="U24" s="32">
        <f>SUM(U25:U27)</f>
        <v>61534.95</v>
      </c>
    </row>
    <row r="25" spans="1:21" ht="18" x14ac:dyDescent="0.25">
      <c r="A25" s="6"/>
      <c r="B25" s="6"/>
      <c r="C25" s="6"/>
      <c r="D25" s="85"/>
      <c r="E25" s="147" t="s">
        <v>65</v>
      </c>
      <c r="F25" s="147"/>
      <c r="G25" s="54">
        <v>1500</v>
      </c>
      <c r="H25" s="54">
        <f>G25*24%</f>
        <v>360</v>
      </c>
      <c r="I25" s="19">
        <f>G25+H25</f>
        <v>1860</v>
      </c>
      <c r="J25" s="19"/>
      <c r="K25" s="54">
        <v>1500</v>
      </c>
      <c r="L25" s="54">
        <f>K25*24%</f>
        <v>360</v>
      </c>
      <c r="M25" s="54">
        <f>K25+L25</f>
        <v>1860</v>
      </c>
      <c r="N25" s="129"/>
      <c r="O25" s="61">
        <v>1500</v>
      </c>
      <c r="P25" s="61"/>
      <c r="Q25" s="30"/>
      <c r="R25" s="30">
        <v>360</v>
      </c>
      <c r="S25" s="34">
        <v>1500</v>
      </c>
      <c r="T25" s="21"/>
      <c r="U25" s="36">
        <v>1500</v>
      </c>
    </row>
    <row r="26" spans="1:21" ht="18" x14ac:dyDescent="0.25">
      <c r="A26" s="6"/>
      <c r="B26" s="6"/>
      <c r="C26" s="6"/>
      <c r="D26" s="85"/>
      <c r="E26" s="147" t="s">
        <v>64</v>
      </c>
      <c r="F26" s="147"/>
      <c r="G26" s="54">
        <f t="shared" ref="G26" si="0">+ROUND(I26/1.19,2)</f>
        <v>0</v>
      </c>
      <c r="H26" s="54">
        <f t="shared" ref="H26" si="1">+I26-G26</f>
        <v>0</v>
      </c>
      <c r="I26" s="19">
        <v>0</v>
      </c>
      <c r="J26" s="19"/>
      <c r="K26" s="54">
        <f t="shared" ref="K26:K30" si="2">+ROUND(M26/1.19,2)</f>
        <v>0</v>
      </c>
      <c r="L26" s="54">
        <f t="shared" ref="L26:L30" si="3">+M26-K26</f>
        <v>0</v>
      </c>
      <c r="M26" s="54">
        <v>0</v>
      </c>
      <c r="N26" s="129"/>
      <c r="O26" s="61"/>
      <c r="P26" s="61"/>
      <c r="Q26" s="30"/>
      <c r="R26" s="30"/>
      <c r="S26" s="34"/>
      <c r="T26" s="21"/>
      <c r="U26" s="36"/>
    </row>
    <row r="27" spans="1:21" ht="18" x14ac:dyDescent="0.25">
      <c r="A27" s="6"/>
      <c r="B27" s="6"/>
      <c r="C27" s="6"/>
      <c r="D27" s="85"/>
      <c r="E27" s="147" t="s">
        <v>63</v>
      </c>
      <c r="F27" s="147"/>
      <c r="G27" s="54">
        <v>75161</v>
      </c>
      <c r="H27" s="54">
        <f>G27*19%</f>
        <v>14280.59</v>
      </c>
      <c r="I27" s="19">
        <f>G27+H27</f>
        <v>89441.59</v>
      </c>
      <c r="J27" s="19"/>
      <c r="K27" s="54">
        <v>75161</v>
      </c>
      <c r="L27" s="54">
        <f>K27*19%</f>
        <v>14280.59</v>
      </c>
      <c r="M27" s="54">
        <f>K27+L27</f>
        <v>89441.59</v>
      </c>
      <c r="N27" s="129"/>
      <c r="O27" s="61">
        <v>75161</v>
      </c>
      <c r="P27" s="61">
        <f>Q27*19%</f>
        <v>2873.9494999999997</v>
      </c>
      <c r="Q27" s="30">
        <v>15126.05</v>
      </c>
      <c r="R27" s="30">
        <f>S27*19%</f>
        <v>11406.6405</v>
      </c>
      <c r="S27" s="34">
        <f>K27-Q27</f>
        <v>60034.95</v>
      </c>
      <c r="T27" s="21"/>
      <c r="U27" s="36">
        <v>60034.95</v>
      </c>
    </row>
    <row r="28" spans="1:21" ht="18.75" x14ac:dyDescent="0.3">
      <c r="A28" s="6"/>
      <c r="B28" s="6"/>
      <c r="C28" s="6"/>
      <c r="D28" s="103" t="s">
        <v>62</v>
      </c>
      <c r="E28" s="161" t="s">
        <v>61</v>
      </c>
      <c r="F28" s="161"/>
      <c r="G28" s="54">
        <v>50370</v>
      </c>
      <c r="H28" s="54">
        <f>(G28-300)*19%</f>
        <v>9513.2999999999993</v>
      </c>
      <c r="I28" s="19">
        <f>G28+H28</f>
        <v>59883.3</v>
      </c>
      <c r="J28" s="19"/>
      <c r="K28" s="54">
        <v>50370</v>
      </c>
      <c r="L28" s="54">
        <f>(K28-300)*19%</f>
        <v>9513.2999999999993</v>
      </c>
      <c r="M28" s="54">
        <f>K28+L28</f>
        <v>59883.3</v>
      </c>
      <c r="N28" s="129"/>
      <c r="O28" s="26">
        <v>50370</v>
      </c>
      <c r="P28" s="26">
        <f>Q28*19%</f>
        <v>1077.3</v>
      </c>
      <c r="Q28" s="30">
        <v>5670</v>
      </c>
      <c r="R28" s="62">
        <f>(S28-300)*19%</f>
        <v>8436</v>
      </c>
      <c r="S28" s="34">
        <f>K28-Q28</f>
        <v>44700</v>
      </c>
      <c r="T28" s="21"/>
      <c r="U28" s="32">
        <v>44700</v>
      </c>
    </row>
    <row r="29" spans="1:21" ht="18.75" x14ac:dyDescent="0.3">
      <c r="A29" s="6"/>
      <c r="B29" s="6"/>
      <c r="C29" s="6"/>
      <c r="D29" s="103" t="s">
        <v>60</v>
      </c>
      <c r="E29" s="161" t="s">
        <v>59</v>
      </c>
      <c r="F29" s="161"/>
      <c r="G29" s="54">
        <v>75927</v>
      </c>
      <c r="H29" s="54">
        <f>(19878*19%)+(56049*24%)</f>
        <v>17228.580000000002</v>
      </c>
      <c r="I29" s="19">
        <f>G29+H29</f>
        <v>93155.58</v>
      </c>
      <c r="J29" s="19"/>
      <c r="K29" s="54">
        <v>75927</v>
      </c>
      <c r="L29" s="54">
        <f>(19878*19%)+(56049*24%)</f>
        <v>17228.580000000002</v>
      </c>
      <c r="M29" s="54">
        <f>K29+L29</f>
        <v>93155.58</v>
      </c>
      <c r="N29" s="129"/>
      <c r="O29" s="26">
        <v>75927</v>
      </c>
      <c r="P29" s="26">
        <v>17228.580000000002</v>
      </c>
      <c r="Q29" s="30">
        <v>75927</v>
      </c>
      <c r="R29" s="30"/>
      <c r="S29" s="34">
        <f>K29-O29</f>
        <v>0</v>
      </c>
      <c r="T29" s="21"/>
      <c r="U29" s="36">
        <v>0</v>
      </c>
    </row>
    <row r="30" spans="1:21" ht="18.75" x14ac:dyDescent="0.3">
      <c r="A30" s="6"/>
      <c r="B30" s="6"/>
      <c r="C30" s="6"/>
      <c r="D30" s="103" t="s">
        <v>58</v>
      </c>
      <c r="E30" s="161" t="s">
        <v>57</v>
      </c>
      <c r="F30" s="161"/>
      <c r="G30" s="54">
        <f t="shared" ref="G30" si="4">+ROUND(I30/1.19,2)</f>
        <v>0</v>
      </c>
      <c r="H30" s="54">
        <f t="shared" ref="H30" si="5">+I30-G30</f>
        <v>0</v>
      </c>
      <c r="I30" s="19">
        <v>0</v>
      </c>
      <c r="J30" s="19"/>
      <c r="K30" s="54">
        <f t="shared" si="2"/>
        <v>0</v>
      </c>
      <c r="L30" s="54">
        <f t="shared" si="3"/>
        <v>0</v>
      </c>
      <c r="M30" s="54">
        <v>0</v>
      </c>
      <c r="N30" s="129"/>
      <c r="O30" s="26"/>
      <c r="P30" s="26"/>
      <c r="Q30" s="30"/>
      <c r="R30" s="30"/>
      <c r="S30" s="34"/>
      <c r="T30" s="21"/>
      <c r="U30" s="36"/>
    </row>
    <row r="31" spans="1:21" ht="18.75" x14ac:dyDescent="0.3">
      <c r="A31" s="6"/>
      <c r="B31" s="6"/>
      <c r="C31" s="6"/>
      <c r="D31" s="103" t="s">
        <v>56</v>
      </c>
      <c r="E31" s="161" t="s">
        <v>55</v>
      </c>
      <c r="F31" s="161"/>
      <c r="G31" s="104">
        <f t="shared" ref="G31:I31" si="6">G32+G33+G34+G35+G36+G37</f>
        <v>86549</v>
      </c>
      <c r="H31" s="104">
        <f t="shared" si="6"/>
        <v>16685.672000000002</v>
      </c>
      <c r="I31" s="105">
        <f t="shared" si="6"/>
        <v>103234.67199999999</v>
      </c>
      <c r="J31" s="105"/>
      <c r="K31" s="104">
        <f t="shared" ref="K31:M31" si="7">K32+K33+K34+K35+K36+K37</f>
        <v>86549</v>
      </c>
      <c r="L31" s="104">
        <f t="shared" si="7"/>
        <v>16685.672000000002</v>
      </c>
      <c r="M31" s="104">
        <f t="shared" si="7"/>
        <v>103234.67199999999</v>
      </c>
      <c r="N31" s="129"/>
      <c r="O31" s="26">
        <f>O32+O33+O34+O35+O36+O37+O38</f>
        <v>86549</v>
      </c>
      <c r="P31" s="26">
        <f>SUM(P34:P37)</f>
        <v>16685.672000000002</v>
      </c>
      <c r="Q31" s="30">
        <f>SUM(Q32:Q38)</f>
        <v>86549</v>
      </c>
      <c r="R31" s="30"/>
      <c r="S31" s="34">
        <f>SUM(S32:S38)</f>
        <v>0</v>
      </c>
      <c r="T31" s="21"/>
      <c r="U31" s="36">
        <f>SUM(U32:U41)</f>
        <v>0</v>
      </c>
    </row>
    <row r="32" spans="1:21" ht="18" x14ac:dyDescent="0.25">
      <c r="A32" s="6"/>
      <c r="B32" s="6"/>
      <c r="C32" s="6"/>
      <c r="D32" s="85"/>
      <c r="E32" s="147" t="s">
        <v>54</v>
      </c>
      <c r="F32" s="147"/>
      <c r="G32" s="54">
        <f t="shared" ref="G32:G33" si="8">+ROUND(I32/1.19,2)</f>
        <v>0</v>
      </c>
      <c r="H32" s="54">
        <f t="shared" ref="H32:H33" si="9">+I32-G32</f>
        <v>0</v>
      </c>
      <c r="I32" s="19">
        <v>0</v>
      </c>
      <c r="J32" s="19"/>
      <c r="K32" s="54">
        <f t="shared" ref="K32:K38" si="10">+ROUND(M32/1.19,2)</f>
        <v>0</v>
      </c>
      <c r="L32" s="54">
        <f t="shared" ref="L32:L38" si="11">+M32-K32</f>
        <v>0</v>
      </c>
      <c r="M32" s="54">
        <v>0</v>
      </c>
      <c r="N32" s="129"/>
      <c r="O32" s="26"/>
      <c r="P32" s="26"/>
      <c r="Q32" s="30">
        <v>0</v>
      </c>
      <c r="R32" s="30"/>
      <c r="S32" s="34">
        <v>0</v>
      </c>
      <c r="T32" s="35"/>
      <c r="U32" s="36">
        <v>0</v>
      </c>
    </row>
    <row r="33" spans="1:21" ht="18" x14ac:dyDescent="0.25">
      <c r="A33" s="6"/>
      <c r="B33" s="6"/>
      <c r="C33" s="6"/>
      <c r="D33" s="85"/>
      <c r="E33" s="147" t="s">
        <v>53</v>
      </c>
      <c r="F33" s="147"/>
      <c r="G33" s="54">
        <f t="shared" si="8"/>
        <v>0</v>
      </c>
      <c r="H33" s="54">
        <f t="shared" si="9"/>
        <v>0</v>
      </c>
      <c r="I33" s="19">
        <v>0</v>
      </c>
      <c r="J33" s="19"/>
      <c r="K33" s="54">
        <f t="shared" si="10"/>
        <v>0</v>
      </c>
      <c r="L33" s="54">
        <f t="shared" si="11"/>
        <v>0</v>
      </c>
      <c r="M33" s="54">
        <v>0</v>
      </c>
      <c r="N33" s="129"/>
      <c r="O33" s="26"/>
      <c r="P33" s="26"/>
      <c r="Q33" s="30">
        <v>0</v>
      </c>
      <c r="R33" s="30"/>
      <c r="S33" s="34">
        <v>0</v>
      </c>
      <c r="T33" s="35"/>
      <c r="U33" s="36">
        <v>0</v>
      </c>
    </row>
    <row r="34" spans="1:21" ht="18" x14ac:dyDescent="0.25">
      <c r="A34" s="6"/>
      <c r="B34" s="6"/>
      <c r="C34" s="6"/>
      <c r="D34" s="85"/>
      <c r="E34" s="147" t="s">
        <v>52</v>
      </c>
      <c r="F34" s="147"/>
      <c r="G34" s="54">
        <v>13736</v>
      </c>
      <c r="H34" s="54">
        <f>G34*24%</f>
        <v>3296.64</v>
      </c>
      <c r="I34" s="19">
        <f>G34+H34</f>
        <v>17032.64</v>
      </c>
      <c r="J34" s="19"/>
      <c r="K34" s="54">
        <v>13736</v>
      </c>
      <c r="L34" s="54">
        <f>K34*24%</f>
        <v>3296.64</v>
      </c>
      <c r="M34" s="54">
        <f>K34+L34</f>
        <v>17032.64</v>
      </c>
      <c r="N34" s="129"/>
      <c r="O34" s="61">
        <v>13736</v>
      </c>
      <c r="P34" s="61">
        <v>3296.64</v>
      </c>
      <c r="Q34" s="30">
        <v>13736</v>
      </c>
      <c r="R34" s="30"/>
      <c r="S34" s="34">
        <f>K34-Q34</f>
        <v>0</v>
      </c>
      <c r="T34" s="21"/>
      <c r="U34" s="36">
        <v>0</v>
      </c>
    </row>
    <row r="35" spans="1:21" ht="18" x14ac:dyDescent="0.25">
      <c r="A35" s="6"/>
      <c r="B35" s="6"/>
      <c r="C35" s="6"/>
      <c r="D35" s="87"/>
      <c r="E35" s="164" t="s">
        <v>51</v>
      </c>
      <c r="F35" s="164"/>
      <c r="G35" s="67">
        <v>11289</v>
      </c>
      <c r="H35" s="67">
        <f>(2257.8*24%-24)+(9031.2*20%)</f>
        <v>2324.1120000000001</v>
      </c>
      <c r="I35" s="20">
        <f>G35+H35</f>
        <v>13613.112000000001</v>
      </c>
      <c r="J35" s="20"/>
      <c r="K35" s="67">
        <v>11289</v>
      </c>
      <c r="L35" s="67">
        <f>(2257.8*24%-24)+(9031.2*20%)</f>
        <v>2324.1120000000001</v>
      </c>
      <c r="M35" s="67">
        <f>K35+L35</f>
        <v>13613.112000000001</v>
      </c>
      <c r="N35" s="129"/>
      <c r="O35" s="61">
        <v>11289</v>
      </c>
      <c r="P35" s="61">
        <v>2324.1120000000001</v>
      </c>
      <c r="Q35" s="30">
        <v>11289</v>
      </c>
      <c r="R35" s="30"/>
      <c r="S35" s="34">
        <f>K35-Q35</f>
        <v>0</v>
      </c>
      <c r="T35" s="21"/>
      <c r="U35" s="36">
        <v>0</v>
      </c>
    </row>
    <row r="36" spans="1:21" ht="18" x14ac:dyDescent="0.25">
      <c r="A36" s="6"/>
      <c r="B36" s="6"/>
      <c r="C36" s="6"/>
      <c r="D36" s="87"/>
      <c r="E36" s="160" t="s">
        <v>50</v>
      </c>
      <c r="F36" s="160"/>
      <c r="G36" s="67">
        <v>6000</v>
      </c>
      <c r="H36" s="67">
        <f>G36*20%</f>
        <v>1200</v>
      </c>
      <c r="I36" s="20">
        <f>G36+H36</f>
        <v>7200</v>
      </c>
      <c r="J36" s="20"/>
      <c r="K36" s="67">
        <v>6000</v>
      </c>
      <c r="L36" s="67">
        <f>K36*20%</f>
        <v>1200</v>
      </c>
      <c r="M36" s="67">
        <f>K36+L36</f>
        <v>7200</v>
      </c>
      <c r="N36" s="129"/>
      <c r="O36" s="61">
        <v>6000</v>
      </c>
      <c r="P36" s="61">
        <v>1200</v>
      </c>
      <c r="Q36" s="30">
        <v>6000</v>
      </c>
      <c r="R36" s="30"/>
      <c r="S36" s="34">
        <f>K36-Q36</f>
        <v>0</v>
      </c>
      <c r="T36" s="21"/>
      <c r="U36" s="36">
        <v>0</v>
      </c>
    </row>
    <row r="37" spans="1:21" ht="18" x14ac:dyDescent="0.25">
      <c r="A37" s="6"/>
      <c r="B37" s="6"/>
      <c r="C37" s="6"/>
      <c r="D37" s="87"/>
      <c r="E37" s="160" t="s">
        <v>49</v>
      </c>
      <c r="F37" s="160"/>
      <c r="G37" s="67">
        <v>55524</v>
      </c>
      <c r="H37" s="67">
        <f>G37*20%-1239.88</f>
        <v>9864.9200000000019</v>
      </c>
      <c r="I37" s="20">
        <f>G37+H37</f>
        <v>65388.92</v>
      </c>
      <c r="J37" s="20"/>
      <c r="K37" s="67">
        <v>55524</v>
      </c>
      <c r="L37" s="67">
        <f>K37*20%-1239.88</f>
        <v>9864.9200000000019</v>
      </c>
      <c r="M37" s="67">
        <f>K37+L37</f>
        <v>65388.92</v>
      </c>
      <c r="N37" s="129"/>
      <c r="O37" s="61">
        <v>55524</v>
      </c>
      <c r="P37" s="61">
        <v>9864.9200000000019</v>
      </c>
      <c r="Q37" s="30">
        <v>55524</v>
      </c>
      <c r="R37" s="30"/>
      <c r="S37" s="34">
        <f>Q37-K37</f>
        <v>0</v>
      </c>
      <c r="T37" s="21"/>
      <c r="U37" s="36">
        <v>0</v>
      </c>
    </row>
    <row r="38" spans="1:21" ht="18.75" x14ac:dyDescent="0.3">
      <c r="A38" s="6"/>
      <c r="B38" s="6"/>
      <c r="C38" s="6"/>
      <c r="D38" s="103"/>
      <c r="E38" s="160" t="s">
        <v>84</v>
      </c>
      <c r="F38" s="160"/>
      <c r="G38" s="54">
        <f t="shared" ref="G38" si="12">+ROUND(I38/1.19,2)</f>
        <v>0</v>
      </c>
      <c r="H38" s="54">
        <f t="shared" ref="H38" si="13">+I38-G38</f>
        <v>0</v>
      </c>
      <c r="I38" s="19">
        <v>0</v>
      </c>
      <c r="J38" s="19"/>
      <c r="K38" s="54">
        <f t="shared" si="10"/>
        <v>0</v>
      </c>
      <c r="L38" s="54">
        <f t="shared" si="11"/>
        <v>0</v>
      </c>
      <c r="M38" s="54">
        <v>0</v>
      </c>
      <c r="N38" s="129"/>
      <c r="O38" s="26"/>
      <c r="P38" s="26"/>
      <c r="Q38" s="33"/>
      <c r="R38" s="33"/>
      <c r="S38" s="31"/>
      <c r="T38" s="21"/>
      <c r="U38" s="32"/>
    </row>
    <row r="39" spans="1:21" ht="18.75" x14ac:dyDescent="0.3">
      <c r="A39" s="6"/>
      <c r="B39" s="6"/>
      <c r="C39" s="6"/>
      <c r="D39" s="103" t="s">
        <v>48</v>
      </c>
      <c r="E39" s="158" t="s">
        <v>47</v>
      </c>
      <c r="F39" s="158"/>
      <c r="G39" s="104">
        <f>+G40+G41</f>
        <v>0</v>
      </c>
      <c r="H39" s="104">
        <f>+H40+H41</f>
        <v>0</v>
      </c>
      <c r="I39" s="105">
        <f>+I40+I41</f>
        <v>0</v>
      </c>
      <c r="J39" s="105"/>
      <c r="K39" s="104">
        <f>+K40+K41</f>
        <v>0</v>
      </c>
      <c r="L39" s="104">
        <f>+L40+L41</f>
        <v>0</v>
      </c>
      <c r="M39" s="104">
        <f>+M40+M41</f>
        <v>0</v>
      </c>
      <c r="N39" s="131">
        <v>0</v>
      </c>
      <c r="O39" s="61">
        <v>0</v>
      </c>
      <c r="P39" s="61"/>
      <c r="Q39" s="33"/>
      <c r="R39" s="33"/>
      <c r="S39" s="31"/>
      <c r="T39" s="35"/>
      <c r="U39" s="36">
        <v>0</v>
      </c>
    </row>
    <row r="40" spans="1:21" ht="18" x14ac:dyDescent="0.25">
      <c r="A40" s="6"/>
      <c r="B40" s="6"/>
      <c r="C40" s="6"/>
      <c r="D40" s="85"/>
      <c r="E40" s="149" t="s">
        <v>46</v>
      </c>
      <c r="F40" s="149"/>
      <c r="G40" s="54">
        <f>+ROUND(I40/1.19,2)</f>
        <v>0</v>
      </c>
      <c r="H40" s="54">
        <f>+I40-G40</f>
        <v>0</v>
      </c>
      <c r="I40" s="19">
        <v>0</v>
      </c>
      <c r="J40" s="19"/>
      <c r="K40" s="54">
        <f>+ROUND(M40/1.19,2)</f>
        <v>0</v>
      </c>
      <c r="L40" s="54">
        <f>+M40-K40</f>
        <v>0</v>
      </c>
      <c r="M40" s="54">
        <v>0</v>
      </c>
      <c r="N40" s="129"/>
      <c r="O40" s="26"/>
      <c r="P40" s="26"/>
      <c r="Q40" s="33"/>
      <c r="R40" s="33"/>
      <c r="S40" s="31"/>
      <c r="T40" s="21"/>
      <c r="U40" s="32"/>
    </row>
    <row r="41" spans="1:21" ht="18" x14ac:dyDescent="0.25">
      <c r="A41" s="6"/>
      <c r="B41" s="6"/>
      <c r="C41" s="6"/>
      <c r="D41" s="85"/>
      <c r="E41" s="149" t="s">
        <v>45</v>
      </c>
      <c r="F41" s="149"/>
      <c r="G41" s="54">
        <f>+ROUND(I41/1.19,2)</f>
        <v>0</v>
      </c>
      <c r="H41" s="54">
        <f>+I41-G41</f>
        <v>0</v>
      </c>
      <c r="I41" s="19">
        <v>0</v>
      </c>
      <c r="J41" s="19"/>
      <c r="K41" s="54">
        <f>+ROUND(M41/1.19,2)</f>
        <v>0</v>
      </c>
      <c r="L41" s="54">
        <f>+M41-K41</f>
        <v>0</v>
      </c>
      <c r="M41" s="54">
        <v>0</v>
      </c>
      <c r="N41" s="129"/>
      <c r="O41" s="26"/>
      <c r="P41" s="26"/>
      <c r="Q41" s="33"/>
      <c r="R41" s="33"/>
      <c r="S41" s="31"/>
      <c r="T41" s="21"/>
      <c r="U41" s="32"/>
    </row>
    <row r="42" spans="1:21" ht="18.75" x14ac:dyDescent="0.3">
      <c r="A42" s="6"/>
      <c r="B42" s="6"/>
      <c r="C42" s="6"/>
      <c r="D42" s="103" t="s">
        <v>44</v>
      </c>
      <c r="E42" s="158" t="s">
        <v>43</v>
      </c>
      <c r="F42" s="158"/>
      <c r="G42" s="104">
        <f>G43+G46</f>
        <v>82864</v>
      </c>
      <c r="H42" s="104">
        <f>H43+H46</f>
        <v>15744.16</v>
      </c>
      <c r="I42" s="105">
        <f>I43+I46</f>
        <v>98608.16</v>
      </c>
      <c r="J42" s="105"/>
      <c r="K42" s="104">
        <f>K43+K46</f>
        <v>82864</v>
      </c>
      <c r="L42" s="104">
        <f>L43+L46</f>
        <v>15744.16</v>
      </c>
      <c r="M42" s="104">
        <f>M43+M46</f>
        <v>98608.16</v>
      </c>
      <c r="N42" s="129"/>
      <c r="O42" s="26">
        <v>82864</v>
      </c>
      <c r="P42" s="26">
        <v>5196.88</v>
      </c>
      <c r="Q42" s="62">
        <f>SUM(Q43:Q46)</f>
        <v>27352</v>
      </c>
      <c r="R42" s="62">
        <f>SUM(R43:R46)</f>
        <v>10547.28</v>
      </c>
      <c r="S42" s="63">
        <f>SUM(S43:S46)</f>
        <v>55512</v>
      </c>
      <c r="T42" s="21"/>
      <c r="U42" s="32">
        <f>SUM(U43:U46)</f>
        <v>55512</v>
      </c>
    </row>
    <row r="43" spans="1:21" ht="18" x14ac:dyDescent="0.25">
      <c r="A43" s="6"/>
      <c r="B43" s="6"/>
      <c r="C43" s="6"/>
      <c r="D43" s="85"/>
      <c r="E43" s="149" t="s">
        <v>42</v>
      </c>
      <c r="F43" s="149"/>
      <c r="G43" s="64">
        <f>+G44+G45</f>
        <v>7864</v>
      </c>
      <c r="H43" s="64">
        <f>+H44+H45</f>
        <v>1494.16</v>
      </c>
      <c r="I43" s="65">
        <f>+I44+I45</f>
        <v>9358.16</v>
      </c>
      <c r="J43" s="65"/>
      <c r="K43" s="64">
        <f>+K44+K45</f>
        <v>7864</v>
      </c>
      <c r="L43" s="64">
        <f>+L44+L45</f>
        <v>1494.16</v>
      </c>
      <c r="M43" s="64">
        <f>+M44+M45</f>
        <v>9358.16</v>
      </c>
      <c r="N43" s="129"/>
      <c r="O43" s="61">
        <v>7864</v>
      </c>
      <c r="P43" s="61"/>
      <c r="Q43" s="30"/>
      <c r="R43" s="30">
        <f>S43*19%</f>
        <v>1494.16</v>
      </c>
      <c r="S43" s="34">
        <v>7864</v>
      </c>
      <c r="T43" s="21"/>
      <c r="U43" s="36">
        <v>7864</v>
      </c>
    </row>
    <row r="44" spans="1:21" ht="18" x14ac:dyDescent="0.25">
      <c r="A44" s="6"/>
      <c r="B44" s="6"/>
      <c r="C44" s="6"/>
      <c r="D44" s="85"/>
      <c r="E44" s="149" t="s">
        <v>41</v>
      </c>
      <c r="F44" s="149"/>
      <c r="G44" s="54">
        <v>7864</v>
      </c>
      <c r="H44" s="54">
        <f>G44*19%</f>
        <v>1494.16</v>
      </c>
      <c r="I44" s="19">
        <f>G44+H44</f>
        <v>9358.16</v>
      </c>
      <c r="J44" s="19"/>
      <c r="K44" s="54">
        <v>7864</v>
      </c>
      <c r="L44" s="54">
        <f>K44*19%</f>
        <v>1494.16</v>
      </c>
      <c r="M44" s="54">
        <f>K44+L44</f>
        <v>9358.16</v>
      </c>
      <c r="N44" s="129"/>
      <c r="O44" s="61"/>
      <c r="P44" s="61"/>
      <c r="Q44" s="30"/>
      <c r="R44" s="30"/>
      <c r="S44" s="34"/>
      <c r="T44" s="21"/>
      <c r="U44" s="36"/>
    </row>
    <row r="45" spans="1:21" ht="18" x14ac:dyDescent="0.25">
      <c r="A45" s="6"/>
      <c r="B45" s="6"/>
      <c r="C45" s="6"/>
      <c r="D45" s="85"/>
      <c r="E45" s="149" t="s">
        <v>40</v>
      </c>
      <c r="F45" s="149"/>
      <c r="G45" s="54">
        <v>0</v>
      </c>
      <c r="H45" s="54">
        <f>G45*19%</f>
        <v>0</v>
      </c>
      <c r="I45" s="19">
        <f>G45+H45</f>
        <v>0</v>
      </c>
      <c r="J45" s="19"/>
      <c r="K45" s="54">
        <v>0</v>
      </c>
      <c r="L45" s="54">
        <f>K45*19%</f>
        <v>0</v>
      </c>
      <c r="M45" s="54">
        <f>K45+L45</f>
        <v>0</v>
      </c>
      <c r="N45" s="129"/>
      <c r="O45" s="61"/>
      <c r="P45" s="61"/>
      <c r="Q45" s="30"/>
      <c r="R45" s="30"/>
      <c r="S45" s="34"/>
      <c r="T45" s="21"/>
      <c r="U45" s="36"/>
    </row>
    <row r="46" spans="1:21" ht="18" x14ac:dyDescent="0.25">
      <c r="A46" s="6"/>
      <c r="B46" s="6"/>
      <c r="C46" s="6"/>
      <c r="D46" s="85"/>
      <c r="E46" s="149" t="s">
        <v>39</v>
      </c>
      <c r="F46" s="149"/>
      <c r="G46" s="54">
        <v>75000</v>
      </c>
      <c r="H46" s="54">
        <f>G46*19%</f>
        <v>14250</v>
      </c>
      <c r="I46" s="19">
        <f>G46+H46</f>
        <v>89250</v>
      </c>
      <c r="J46" s="19"/>
      <c r="K46" s="54">
        <v>75000</v>
      </c>
      <c r="L46" s="54">
        <f>K46*19%</f>
        <v>14250</v>
      </c>
      <c r="M46" s="54">
        <f>K46+L46</f>
        <v>89250</v>
      </c>
      <c r="N46" s="129"/>
      <c r="O46" s="61">
        <v>75000</v>
      </c>
      <c r="P46" s="61">
        <f>Q46*19%</f>
        <v>5196.88</v>
      </c>
      <c r="Q46" s="30">
        <v>27352</v>
      </c>
      <c r="R46" s="30">
        <f>S46*19%</f>
        <v>9053.1200000000008</v>
      </c>
      <c r="S46" s="34">
        <f>O46-Q46</f>
        <v>47648</v>
      </c>
      <c r="T46" s="21"/>
      <c r="U46" s="36">
        <v>47648</v>
      </c>
    </row>
    <row r="47" spans="1:21" ht="18" x14ac:dyDescent="0.25">
      <c r="A47" s="6"/>
      <c r="B47" s="6"/>
      <c r="C47" s="6"/>
      <c r="D47" s="154" t="s">
        <v>38</v>
      </c>
      <c r="E47" s="149"/>
      <c r="F47" s="149"/>
      <c r="G47" s="54">
        <f>G42+G39+G38+G31+G30+G29+G28+G24</f>
        <v>372371</v>
      </c>
      <c r="H47" s="54">
        <f>H42+H39+H31+H30+H29+H28+H24</f>
        <v>73812.301999999996</v>
      </c>
      <c r="I47" s="19">
        <f>I42+I39+I38+I31+I30+I29+I28+I24</f>
        <v>446183.30200000003</v>
      </c>
      <c r="J47" s="19"/>
      <c r="K47" s="54">
        <f>K42+K39+K38+K31+K30+K29+K28+K24</f>
        <v>372371</v>
      </c>
      <c r="L47" s="54">
        <f>L42+L39+L31+L30+L29+L28+L24</f>
        <v>73812.301999999996</v>
      </c>
      <c r="M47" s="54">
        <f>M42+M39+M38+M31+M30+M29+M28+M24</f>
        <v>446183.30200000003</v>
      </c>
      <c r="N47" s="129"/>
      <c r="O47" s="26">
        <f>O42+O31+O29+O28+O24</f>
        <v>372371</v>
      </c>
      <c r="P47" s="26">
        <f>P42+P31+P29+P28+P24</f>
        <v>43062.38150000001</v>
      </c>
      <c r="Q47" s="62">
        <f>Q42+Q31+Q29+Q28+Q24</f>
        <v>210624.05</v>
      </c>
      <c r="R47" s="62">
        <f>R42+R28+R24</f>
        <v>30749.9205</v>
      </c>
      <c r="S47" s="63">
        <f>S42+S31+S29+S28+S24</f>
        <v>161746.95000000001</v>
      </c>
      <c r="T47" s="21"/>
      <c r="U47" s="32">
        <f>U42+U31+U29+U28+U24</f>
        <v>161746.95000000001</v>
      </c>
    </row>
    <row r="48" spans="1:21" ht="18" x14ac:dyDescent="0.25">
      <c r="A48" s="6"/>
      <c r="B48" s="6"/>
      <c r="C48" s="6"/>
      <c r="D48" s="86"/>
      <c r="E48" s="7"/>
      <c r="F48" s="42"/>
      <c r="G48" s="42"/>
      <c r="H48" s="42"/>
      <c r="I48" s="42"/>
      <c r="J48" s="42"/>
      <c r="K48" s="64"/>
      <c r="L48" s="64"/>
      <c r="M48" s="64"/>
      <c r="N48" s="129"/>
      <c r="O48" s="26"/>
      <c r="P48" s="26"/>
      <c r="Q48" s="33"/>
      <c r="R48" s="33"/>
      <c r="S48" s="31"/>
      <c r="T48" s="21"/>
      <c r="U48" s="32"/>
    </row>
    <row r="49" spans="1:23" ht="18" x14ac:dyDescent="0.25">
      <c r="A49" s="6"/>
      <c r="B49" s="6"/>
      <c r="C49" s="6"/>
      <c r="D49" s="146"/>
      <c r="E49" s="147"/>
      <c r="F49" s="147"/>
      <c r="G49" s="147"/>
      <c r="H49" s="147"/>
      <c r="I49" s="147"/>
      <c r="J49" s="147"/>
      <c r="K49" s="147"/>
      <c r="L49" s="147"/>
      <c r="M49" s="148"/>
      <c r="N49" s="129"/>
      <c r="O49" s="26"/>
      <c r="P49" s="26"/>
      <c r="Q49" s="30"/>
      <c r="R49" s="30"/>
      <c r="S49" s="31"/>
      <c r="T49" s="21"/>
      <c r="U49" s="32"/>
    </row>
    <row r="50" spans="1:23" ht="18" x14ac:dyDescent="0.25">
      <c r="A50" s="6"/>
      <c r="B50" s="6"/>
      <c r="C50" s="6"/>
      <c r="D50" s="163" t="s">
        <v>37</v>
      </c>
      <c r="E50" s="164"/>
      <c r="F50" s="164"/>
      <c r="G50" s="164"/>
      <c r="H50" s="164"/>
      <c r="I50" s="164"/>
      <c r="J50" s="164"/>
      <c r="K50" s="164"/>
      <c r="L50" s="164"/>
      <c r="M50" s="165"/>
      <c r="N50" s="129"/>
      <c r="O50" s="26"/>
      <c r="P50" s="26"/>
      <c r="Q50" s="33"/>
      <c r="R50" s="33"/>
      <c r="S50" s="31"/>
      <c r="T50" s="21"/>
      <c r="U50" s="32"/>
    </row>
    <row r="51" spans="1:23" ht="18" x14ac:dyDescent="0.25">
      <c r="A51" s="6"/>
      <c r="B51" s="6"/>
      <c r="C51" s="6"/>
      <c r="D51" s="87" t="s">
        <v>36</v>
      </c>
      <c r="E51" s="160" t="s">
        <v>35</v>
      </c>
      <c r="F51" s="160"/>
      <c r="G51" s="24">
        <v>7336388.3300000001</v>
      </c>
      <c r="H51" s="24">
        <v>1393913.78</v>
      </c>
      <c r="I51" s="24">
        <v>8730302.1099999994</v>
      </c>
      <c r="J51" s="24">
        <v>689872.05</v>
      </c>
      <c r="K51" s="68">
        <f>7336388.33+689872.05</f>
        <v>8026260.3799999999</v>
      </c>
      <c r="L51" s="69">
        <f>K51*19%</f>
        <v>1524989.4722</v>
      </c>
      <c r="M51" s="67">
        <f>K51+L51</f>
        <v>9551249.8521999996</v>
      </c>
      <c r="N51" s="131">
        <f>K51*79%</f>
        <v>6340745.7001999998</v>
      </c>
      <c r="O51" s="61">
        <f>K51-N51</f>
        <v>1685514.6798</v>
      </c>
      <c r="P51" s="61">
        <f>Q51*19%</f>
        <v>611962.99340000004</v>
      </c>
      <c r="Q51" s="30">
        <v>3220857.86</v>
      </c>
      <c r="R51" s="30">
        <f>S51*19%</f>
        <v>913026.47879999992</v>
      </c>
      <c r="S51" s="34">
        <f>K51-Q51</f>
        <v>4805402.5199999996</v>
      </c>
      <c r="T51" s="35">
        <f>S51-U51</f>
        <v>3119887.8401999995</v>
      </c>
      <c r="U51" s="36">
        <v>1685514.6798</v>
      </c>
    </row>
    <row r="52" spans="1:23" ht="18" x14ac:dyDescent="0.25">
      <c r="A52" s="6"/>
      <c r="B52" s="6"/>
      <c r="C52" s="6"/>
      <c r="D52" s="87" t="s">
        <v>34</v>
      </c>
      <c r="E52" s="160" t="s">
        <v>33</v>
      </c>
      <c r="F52" s="160"/>
      <c r="G52" s="45"/>
      <c r="H52" s="45"/>
      <c r="I52" s="45"/>
      <c r="J52" s="45"/>
      <c r="K52" s="67">
        <v>0</v>
      </c>
      <c r="L52" s="67">
        <f>K52*19%</f>
        <v>0</v>
      </c>
      <c r="M52" s="67">
        <f>K52+L52</f>
        <v>0</v>
      </c>
      <c r="N52" s="131"/>
      <c r="O52" s="61"/>
      <c r="P52" s="61"/>
      <c r="Q52" s="30"/>
      <c r="R52" s="30"/>
      <c r="S52" s="34"/>
      <c r="T52" s="35"/>
      <c r="U52" s="36"/>
    </row>
    <row r="53" spans="1:23" ht="18" x14ac:dyDescent="0.25">
      <c r="A53" s="6"/>
      <c r="B53" s="6"/>
      <c r="C53" s="6"/>
      <c r="D53" s="88" t="s">
        <v>32</v>
      </c>
      <c r="E53" s="160" t="s">
        <v>31</v>
      </c>
      <c r="F53" s="160"/>
      <c r="G53" s="67">
        <v>315334</v>
      </c>
      <c r="H53" s="67">
        <f>G53*19%</f>
        <v>59913.46</v>
      </c>
      <c r="I53" s="20">
        <f>G53+H53</f>
        <v>375247.46</v>
      </c>
      <c r="J53" s="20"/>
      <c r="K53" s="67">
        <v>315334</v>
      </c>
      <c r="L53" s="67">
        <f>K53*19%</f>
        <v>59913.46</v>
      </c>
      <c r="M53" s="67">
        <f>K53+L53</f>
        <v>375247.46</v>
      </c>
      <c r="N53" s="131">
        <f>K53*79%</f>
        <v>249113.86000000002</v>
      </c>
      <c r="O53" s="61">
        <f>K53-N53</f>
        <v>66220.139999999985</v>
      </c>
      <c r="P53" s="61">
        <f>Q53*19%</f>
        <v>22615.7</v>
      </c>
      <c r="Q53" s="30">
        <v>119030</v>
      </c>
      <c r="R53" s="30">
        <f>S53*19%</f>
        <v>37297.760000000002</v>
      </c>
      <c r="S53" s="34">
        <f>K53-Q53</f>
        <v>196304</v>
      </c>
      <c r="T53" s="35">
        <f>S53-U53</f>
        <v>130083.86000000002</v>
      </c>
      <c r="U53" s="36">
        <v>66220.139999999985</v>
      </c>
    </row>
    <row r="54" spans="1:23" ht="18" x14ac:dyDescent="0.25">
      <c r="A54" s="6"/>
      <c r="B54" s="6"/>
      <c r="C54" s="6"/>
      <c r="D54" s="88" t="s">
        <v>30</v>
      </c>
      <c r="E54" s="160" t="s">
        <v>29</v>
      </c>
      <c r="F54" s="160"/>
      <c r="G54" s="67">
        <f t="shared" ref="G54" si="14">+ROUND(I54/1.19,2)</f>
        <v>0</v>
      </c>
      <c r="H54" s="67">
        <f t="shared" ref="H54" si="15">+I54-G54</f>
        <v>0</v>
      </c>
      <c r="I54" s="20">
        <v>0</v>
      </c>
      <c r="J54" s="20"/>
      <c r="K54" s="67">
        <f t="shared" ref="K54" si="16">+ROUND(M54/1.19,2)</f>
        <v>0</v>
      </c>
      <c r="L54" s="67">
        <f t="shared" ref="L54" si="17">+M54-K54</f>
        <v>0</v>
      </c>
      <c r="M54" s="67">
        <v>0</v>
      </c>
      <c r="N54" s="131"/>
      <c r="O54" s="61"/>
      <c r="P54" s="61"/>
      <c r="Q54" s="30"/>
      <c r="R54" s="30"/>
      <c r="S54" s="34"/>
      <c r="T54" s="35"/>
      <c r="U54" s="36"/>
    </row>
    <row r="55" spans="1:23" ht="18" x14ac:dyDescent="0.25">
      <c r="A55" s="6"/>
      <c r="B55" s="6"/>
      <c r="C55" s="6"/>
      <c r="D55" s="87" t="s">
        <v>28</v>
      </c>
      <c r="E55" s="160" t="s">
        <v>27</v>
      </c>
      <c r="F55" s="160"/>
      <c r="G55" s="67">
        <v>223505.79</v>
      </c>
      <c r="H55" s="67">
        <f>G55*19%</f>
        <v>42466.100100000003</v>
      </c>
      <c r="I55" s="20">
        <f>G55+H55</f>
        <v>265971.89010000002</v>
      </c>
      <c r="J55" s="20"/>
      <c r="K55" s="67">
        <v>223505.79</v>
      </c>
      <c r="L55" s="67">
        <f>K55*19%</f>
        <v>42466.100100000003</v>
      </c>
      <c r="M55" s="67">
        <f>K55+L55</f>
        <v>265971.89010000002</v>
      </c>
      <c r="N55" s="131">
        <f>K55*79%</f>
        <v>176569.57410000003</v>
      </c>
      <c r="O55" s="61">
        <f>K55-N55</f>
        <v>46936.215899999981</v>
      </c>
      <c r="P55" s="61">
        <f>Q55*19%</f>
        <v>27190.0108</v>
      </c>
      <c r="Q55" s="30">
        <v>143105.32</v>
      </c>
      <c r="R55" s="30">
        <f>S55*19%</f>
        <v>15276.0893</v>
      </c>
      <c r="S55" s="34">
        <f>K55-Q55</f>
        <v>80400.47</v>
      </c>
      <c r="T55" s="35">
        <f>S55-U55</f>
        <v>33464.25410000002</v>
      </c>
      <c r="U55" s="36">
        <v>46936.215899999981</v>
      </c>
      <c r="W55" s="37">
        <f>U57/S57</f>
        <v>0.35392230805829616</v>
      </c>
    </row>
    <row r="56" spans="1:23" ht="18" x14ac:dyDescent="0.25">
      <c r="A56" s="6"/>
      <c r="B56" s="6"/>
      <c r="C56" s="6"/>
      <c r="D56" s="85" t="s">
        <v>26</v>
      </c>
      <c r="E56" s="149" t="s">
        <v>82</v>
      </c>
      <c r="F56" s="149"/>
      <c r="G56" s="43"/>
      <c r="H56" s="43"/>
      <c r="I56" s="43"/>
      <c r="J56" s="43"/>
      <c r="K56" s="54"/>
      <c r="L56" s="54"/>
      <c r="M56" s="54"/>
      <c r="N56" s="129"/>
      <c r="O56" s="26"/>
      <c r="P56" s="26"/>
      <c r="Q56" s="30"/>
      <c r="R56" s="30"/>
      <c r="S56" s="34"/>
      <c r="T56" s="21"/>
      <c r="U56" s="32"/>
    </row>
    <row r="57" spans="1:23" ht="18" x14ac:dyDescent="0.25">
      <c r="A57" s="6"/>
      <c r="B57" s="6"/>
      <c r="C57" s="6"/>
      <c r="D57" s="154" t="s">
        <v>25</v>
      </c>
      <c r="E57" s="149"/>
      <c r="F57" s="149"/>
      <c r="G57" s="106">
        <f>SUM(G51:G55)</f>
        <v>7875228.1200000001</v>
      </c>
      <c r="H57" s="106">
        <f>SUM(H51:H56)</f>
        <v>1496293.3400999999</v>
      </c>
      <c r="I57" s="106">
        <f>SUM(I51:I56)</f>
        <v>9371521.4601000007</v>
      </c>
      <c r="J57" s="107"/>
      <c r="K57" s="54">
        <f>SUM(K51:K56)</f>
        <v>8565100.1699999999</v>
      </c>
      <c r="L57" s="54">
        <f>SUM(L51:L56)</f>
        <v>1627369.0322999998</v>
      </c>
      <c r="M57" s="54">
        <f>SUM(M51:M56)</f>
        <v>10192469.202300001</v>
      </c>
      <c r="N57" s="130">
        <f>K57*79%</f>
        <v>6766429.1343</v>
      </c>
      <c r="O57" s="26">
        <f>K57-N57</f>
        <v>1798671.0356999999</v>
      </c>
      <c r="P57" s="26">
        <f>SUM(P51:P55)</f>
        <v>661768.70420000004</v>
      </c>
      <c r="Q57" s="62">
        <f>SUM(Q51:Q56)</f>
        <v>3482993.1799999997</v>
      </c>
      <c r="R57" s="62">
        <f>SUM(R51:R56)</f>
        <v>965600.32809999993</v>
      </c>
      <c r="S57" s="63">
        <f>SUM(S51:S56)</f>
        <v>5082106.9899999993</v>
      </c>
      <c r="T57" s="66">
        <f>SUM(T51:T55)</f>
        <v>3283435.9542999994</v>
      </c>
      <c r="U57" s="32">
        <f>SUM(U51:U55)</f>
        <v>1798671.0356999999</v>
      </c>
      <c r="V57" s="22"/>
    </row>
    <row r="58" spans="1:23" ht="18" x14ac:dyDescent="0.25">
      <c r="A58" s="6"/>
      <c r="B58" s="6"/>
      <c r="C58" s="6"/>
      <c r="D58" s="86"/>
      <c r="E58" s="7"/>
      <c r="F58" s="42"/>
      <c r="G58" s="42"/>
      <c r="H58" s="42"/>
      <c r="I58" s="42"/>
      <c r="J58" s="107"/>
      <c r="K58" s="64"/>
      <c r="L58" s="64"/>
      <c r="M58" s="64"/>
      <c r="N58" s="129"/>
      <c r="O58" s="26"/>
      <c r="P58" s="26"/>
      <c r="Q58" s="33"/>
      <c r="R58" s="33"/>
      <c r="S58" s="31"/>
      <c r="T58" s="21"/>
      <c r="U58" s="32"/>
    </row>
    <row r="59" spans="1:23" ht="18" x14ac:dyDescent="0.25">
      <c r="A59" s="6"/>
      <c r="B59" s="6"/>
      <c r="C59" s="6"/>
      <c r="D59" s="146" t="s">
        <v>24</v>
      </c>
      <c r="E59" s="147"/>
      <c r="F59" s="147"/>
      <c r="G59" s="147"/>
      <c r="H59" s="147"/>
      <c r="I59" s="147"/>
      <c r="J59" s="147"/>
      <c r="K59" s="147"/>
      <c r="L59" s="147"/>
      <c r="M59" s="148"/>
      <c r="N59" s="129"/>
      <c r="O59" s="26"/>
      <c r="P59" s="26"/>
      <c r="Q59" s="30"/>
      <c r="R59" s="30"/>
      <c r="S59" s="31"/>
      <c r="T59" s="35"/>
      <c r="U59" s="32"/>
    </row>
    <row r="60" spans="1:23" ht="18" x14ac:dyDescent="0.25">
      <c r="A60" s="6"/>
      <c r="B60" s="6"/>
      <c r="C60" s="6"/>
      <c r="D60" s="146" t="s">
        <v>23</v>
      </c>
      <c r="E60" s="147"/>
      <c r="F60" s="147"/>
      <c r="G60" s="147"/>
      <c r="H60" s="147"/>
      <c r="I60" s="147"/>
      <c r="J60" s="147"/>
      <c r="K60" s="147"/>
      <c r="L60" s="147"/>
      <c r="M60" s="148"/>
      <c r="N60" s="129"/>
      <c r="O60" s="26"/>
      <c r="P60" s="26"/>
      <c r="Q60" s="33"/>
      <c r="R60" s="30"/>
      <c r="S60" s="31"/>
      <c r="T60" s="21"/>
      <c r="U60" s="32"/>
    </row>
    <row r="61" spans="1:23" ht="18.75" x14ac:dyDescent="0.3">
      <c r="A61" s="6"/>
      <c r="B61" s="6"/>
      <c r="C61" s="6"/>
      <c r="D61" s="103" t="s">
        <v>22</v>
      </c>
      <c r="E61" s="161" t="s">
        <v>21</v>
      </c>
      <c r="F61" s="161"/>
      <c r="G61" s="108">
        <f t="shared" ref="G61:I61" si="18">G62+G63</f>
        <v>27564.799999999999</v>
      </c>
      <c r="H61" s="108">
        <f t="shared" si="18"/>
        <v>5237.3119999999999</v>
      </c>
      <c r="I61" s="109">
        <f t="shared" si="18"/>
        <v>32802.112000000001</v>
      </c>
      <c r="J61" s="110"/>
      <c r="K61" s="108">
        <f t="shared" ref="K61:M61" si="19">K62+K63</f>
        <v>27564.799999999999</v>
      </c>
      <c r="L61" s="108">
        <f t="shared" si="19"/>
        <v>5237.3119999999999</v>
      </c>
      <c r="M61" s="108">
        <f t="shared" si="19"/>
        <v>32802.112000000001</v>
      </c>
      <c r="N61" s="132">
        <v>21776.191999999999</v>
      </c>
      <c r="O61" s="26">
        <v>5788.6080000000002</v>
      </c>
      <c r="P61" s="26">
        <f>Q61*19%</f>
        <v>624.27729999999997</v>
      </c>
      <c r="Q61" s="62">
        <f>SUM(Q62:Q63)</f>
        <v>3285.67</v>
      </c>
      <c r="R61" s="62">
        <f>SUM(R62:R63)</f>
        <v>4613.0346999999992</v>
      </c>
      <c r="S61" s="63">
        <f>SUM(S62:S63)</f>
        <v>24279.129999999997</v>
      </c>
      <c r="T61" s="70">
        <f>SUM(T62:T63)</f>
        <v>15686.204272752579</v>
      </c>
      <c r="U61" s="32">
        <f>SUM(U62:U63)</f>
        <v>8592.9257272474188</v>
      </c>
      <c r="V61" s="22"/>
    </row>
    <row r="62" spans="1:23" ht="18" x14ac:dyDescent="0.25">
      <c r="A62" s="6"/>
      <c r="B62" s="6"/>
      <c r="C62" s="6"/>
      <c r="D62" s="89"/>
      <c r="E62" s="162" t="s">
        <v>20</v>
      </c>
      <c r="F62" s="162"/>
      <c r="G62" s="67">
        <v>27564.799999999999</v>
      </c>
      <c r="H62" s="67">
        <f>G62*19%</f>
        <v>5237.3119999999999</v>
      </c>
      <c r="I62" s="20">
        <f>G62+H62</f>
        <v>32802.112000000001</v>
      </c>
      <c r="J62" s="46"/>
      <c r="K62" s="67">
        <v>27564.799999999999</v>
      </c>
      <c r="L62" s="67">
        <f>K62*19%</f>
        <v>5237.3119999999999</v>
      </c>
      <c r="M62" s="67">
        <f>K62+L62</f>
        <v>32802.112000000001</v>
      </c>
      <c r="N62" s="133">
        <v>21776.191999999999</v>
      </c>
      <c r="O62" s="61">
        <v>5788.6080000000002</v>
      </c>
      <c r="P62" s="61">
        <f>Q62*19%</f>
        <v>624.27729999999997</v>
      </c>
      <c r="Q62" s="30">
        <v>3285.67</v>
      </c>
      <c r="R62" s="30">
        <f>S62*19%</f>
        <v>4613.0346999999992</v>
      </c>
      <c r="S62" s="34">
        <f>K62-Q62</f>
        <v>24279.129999999997</v>
      </c>
      <c r="T62" s="71">
        <f>S62-U62</f>
        <v>15686.204272752579</v>
      </c>
      <c r="U62" s="36">
        <f>S62*W55</f>
        <v>8592.9257272474188</v>
      </c>
    </row>
    <row r="63" spans="1:23" ht="18" x14ac:dyDescent="0.25">
      <c r="A63" s="6"/>
      <c r="B63" s="6"/>
      <c r="C63" s="6"/>
      <c r="D63" s="90"/>
      <c r="E63" s="159" t="s">
        <v>19</v>
      </c>
      <c r="F63" s="159"/>
      <c r="G63" s="54">
        <f>+ROUND(I63/1.19,2)</f>
        <v>0</v>
      </c>
      <c r="H63" s="54">
        <f>+I63-G63</f>
        <v>0</v>
      </c>
      <c r="I63" s="19">
        <v>0</v>
      </c>
      <c r="J63" s="44"/>
      <c r="K63" s="54">
        <f>+ROUND(M63/1.19,2)</f>
        <v>0</v>
      </c>
      <c r="L63" s="54">
        <f>+M63-K63</f>
        <v>0</v>
      </c>
      <c r="M63" s="54">
        <v>0</v>
      </c>
      <c r="N63" s="129"/>
      <c r="O63" s="26"/>
      <c r="P63" s="26"/>
      <c r="Q63" s="30"/>
      <c r="R63" s="30"/>
      <c r="S63" s="34"/>
      <c r="T63" s="21"/>
      <c r="U63" s="32"/>
    </row>
    <row r="64" spans="1:23" ht="18.75" x14ac:dyDescent="0.3">
      <c r="A64" s="6"/>
      <c r="B64" s="6"/>
      <c r="C64" s="6"/>
      <c r="D64" s="103" t="s">
        <v>18</v>
      </c>
      <c r="E64" s="161" t="s">
        <v>17</v>
      </c>
      <c r="F64" s="161"/>
      <c r="G64" s="108">
        <f>+G65+G66+G67+G68+G69</f>
        <v>78861.42</v>
      </c>
      <c r="H64" s="108">
        <f>+H65+H66+H67+H68+H69</f>
        <v>14983.6698</v>
      </c>
      <c r="I64" s="109">
        <f>+I65+I66+I67+I68+I69</f>
        <v>93845.089799999987</v>
      </c>
      <c r="J64" s="110"/>
      <c r="K64" s="108">
        <f>+K65+K66+K67+K68+K69</f>
        <v>78861.42</v>
      </c>
      <c r="L64" s="108">
        <f>+L65+L66+L67+L68+L69</f>
        <v>14983.6698</v>
      </c>
      <c r="M64" s="108">
        <f>+M65+M66+M67+M68+M69</f>
        <v>93845.089799999987</v>
      </c>
      <c r="N64" s="130">
        <f>K64-O64</f>
        <v>62300.521800000002</v>
      </c>
      <c r="O64" s="26">
        <f>78861.42*21%</f>
        <v>16560.8982</v>
      </c>
      <c r="P64" s="26">
        <f>SUM(P66:P69)</f>
        <v>2957.3937000000001</v>
      </c>
      <c r="Q64" s="62">
        <f>SUM(Q66:Q68)</f>
        <v>15565.23</v>
      </c>
      <c r="R64" s="62">
        <f>SUM(R65:R69)</f>
        <v>12026.276099999999</v>
      </c>
      <c r="S64" s="63">
        <f>K64-Q64</f>
        <v>63296.19</v>
      </c>
      <c r="T64" s="66">
        <f>SUM(T66:T68)</f>
        <v>0</v>
      </c>
      <c r="U64" s="32">
        <f>SUM(U65:U68)</f>
        <v>63296.19</v>
      </c>
      <c r="W64" s="22"/>
    </row>
    <row r="65" spans="1:24" ht="18" x14ac:dyDescent="0.25">
      <c r="A65" s="6"/>
      <c r="B65" s="6"/>
      <c r="C65" s="6"/>
      <c r="D65" s="85"/>
      <c r="E65" s="149" t="s">
        <v>16</v>
      </c>
      <c r="F65" s="149"/>
      <c r="G65" s="54">
        <f>+ROUND(I65/1.19,2)</f>
        <v>0</v>
      </c>
      <c r="H65" s="54">
        <f>+I65-G65</f>
        <v>0</v>
      </c>
      <c r="I65" s="19">
        <v>0</v>
      </c>
      <c r="J65" s="43"/>
      <c r="K65" s="54">
        <f>+ROUND(M65/1.19,2)</f>
        <v>0</v>
      </c>
      <c r="L65" s="54">
        <f>+M65-K65</f>
        <v>0</v>
      </c>
      <c r="M65" s="54">
        <v>0</v>
      </c>
      <c r="N65" s="129"/>
      <c r="O65" s="26"/>
      <c r="P65" s="26"/>
      <c r="Q65" s="33"/>
      <c r="R65" s="30"/>
      <c r="S65" s="31"/>
      <c r="T65" s="35"/>
      <c r="U65" s="32"/>
    </row>
    <row r="66" spans="1:24" ht="18" x14ac:dyDescent="0.25">
      <c r="A66" s="6"/>
      <c r="B66" s="6"/>
      <c r="C66" s="6"/>
      <c r="D66" s="85"/>
      <c r="E66" s="149" t="s">
        <v>15</v>
      </c>
      <c r="F66" s="149"/>
      <c r="G66" s="54">
        <v>35846.1</v>
      </c>
      <c r="H66" s="54">
        <f>G66*19%</f>
        <v>6810.759</v>
      </c>
      <c r="I66" s="19">
        <f>G66+H66</f>
        <v>42656.858999999997</v>
      </c>
      <c r="J66" s="43"/>
      <c r="K66" s="54">
        <v>35846.1</v>
      </c>
      <c r="L66" s="54">
        <f>K66*19%</f>
        <v>6810.759</v>
      </c>
      <c r="M66" s="54">
        <f>K66+L66</f>
        <v>42656.858999999997</v>
      </c>
      <c r="N66" s="131">
        <f>K66*79%</f>
        <v>28318.419000000002</v>
      </c>
      <c r="O66" s="61">
        <f>K66-N66</f>
        <v>7527.6809999999969</v>
      </c>
      <c r="P66" s="61">
        <f>Q66*19%</f>
        <v>2957.3937000000001</v>
      </c>
      <c r="Q66" s="33">
        <v>15565.23</v>
      </c>
      <c r="R66" s="33">
        <f>S66*19%</f>
        <v>3853.3652999999999</v>
      </c>
      <c r="S66" s="34">
        <f>K66-Q66</f>
        <v>20280.87</v>
      </c>
      <c r="T66" s="35">
        <f>S66-U66</f>
        <v>0</v>
      </c>
      <c r="U66" s="36">
        <v>20280.87</v>
      </c>
    </row>
    <row r="67" spans="1:24" ht="18" x14ac:dyDescent="0.25">
      <c r="A67" s="6"/>
      <c r="B67" s="6"/>
      <c r="C67" s="6"/>
      <c r="D67" s="85"/>
      <c r="E67" s="149" t="s">
        <v>14</v>
      </c>
      <c r="F67" s="149"/>
      <c r="G67" s="54">
        <v>7169.22</v>
      </c>
      <c r="H67" s="54">
        <v>1362.1518000000001</v>
      </c>
      <c r="I67" s="19">
        <v>8531.3718000000008</v>
      </c>
      <c r="J67" s="43"/>
      <c r="K67" s="54">
        <f>7169.22-Q70</f>
        <v>7169.22</v>
      </c>
      <c r="L67" s="54">
        <f>K67*19%</f>
        <v>1362.1518000000001</v>
      </c>
      <c r="M67" s="54">
        <f>K67+L67</f>
        <v>8531.3718000000008</v>
      </c>
      <c r="N67" s="131">
        <f>K67*79%</f>
        <v>5663.6838000000007</v>
      </c>
      <c r="O67" s="61">
        <f>K67-N67</f>
        <v>1505.5361999999996</v>
      </c>
      <c r="P67" s="61"/>
      <c r="Q67" s="33">
        <v>0</v>
      </c>
      <c r="R67" s="33">
        <v>1362.1518000000001</v>
      </c>
      <c r="S67" s="34">
        <f>K67-Q67</f>
        <v>7169.22</v>
      </c>
      <c r="T67" s="35">
        <f>S67-U67</f>
        <v>0</v>
      </c>
      <c r="U67" s="36">
        <v>7169.22</v>
      </c>
    </row>
    <row r="68" spans="1:24" ht="18" x14ac:dyDescent="0.25">
      <c r="A68" s="6"/>
      <c r="B68" s="6"/>
      <c r="C68" s="6"/>
      <c r="D68" s="85"/>
      <c r="E68" s="149" t="s">
        <v>13</v>
      </c>
      <c r="F68" s="149"/>
      <c r="G68" s="54">
        <v>35846.1</v>
      </c>
      <c r="H68" s="54">
        <f>G68*19%</f>
        <v>6810.759</v>
      </c>
      <c r="I68" s="19">
        <f>G68+H68</f>
        <v>42656.858999999997</v>
      </c>
      <c r="J68" s="43"/>
      <c r="K68" s="54">
        <v>35846.1</v>
      </c>
      <c r="L68" s="54">
        <f>K68*19%</f>
        <v>6810.759</v>
      </c>
      <c r="M68" s="54">
        <f>K68+L68</f>
        <v>42656.858999999997</v>
      </c>
      <c r="N68" s="131">
        <f>K68*79%</f>
        <v>28318.419000000002</v>
      </c>
      <c r="O68" s="61">
        <f>K68-N68</f>
        <v>7527.6809999999969</v>
      </c>
      <c r="P68" s="61"/>
      <c r="Q68" s="33">
        <v>0</v>
      </c>
      <c r="R68" s="33">
        <v>6810.759</v>
      </c>
      <c r="S68" s="34">
        <f>K68-Q68</f>
        <v>35846.1</v>
      </c>
      <c r="T68" s="35">
        <f>S68-U68</f>
        <v>0</v>
      </c>
      <c r="U68" s="36">
        <v>35846.1</v>
      </c>
    </row>
    <row r="69" spans="1:24" ht="18" x14ac:dyDescent="0.25">
      <c r="A69" s="6"/>
      <c r="B69" s="6"/>
      <c r="C69" s="6"/>
      <c r="D69" s="85"/>
      <c r="E69" s="149" t="s">
        <v>12</v>
      </c>
      <c r="F69" s="149"/>
      <c r="G69" s="54">
        <f>+I69</f>
        <v>0</v>
      </c>
      <c r="H69" s="54">
        <v>0</v>
      </c>
      <c r="I69" s="19">
        <v>0</v>
      </c>
      <c r="J69" s="43"/>
      <c r="K69" s="54">
        <f>+M69</f>
        <v>0</v>
      </c>
      <c r="L69" s="54">
        <v>0</v>
      </c>
      <c r="M69" s="54">
        <v>0</v>
      </c>
      <c r="N69" s="129"/>
      <c r="O69" s="26"/>
      <c r="P69" s="26"/>
      <c r="Q69" s="30"/>
      <c r="R69" s="33"/>
      <c r="S69" s="34"/>
      <c r="T69" s="21"/>
      <c r="U69" s="32"/>
    </row>
    <row r="70" spans="1:24" ht="56.25" x14ac:dyDescent="0.3">
      <c r="A70" s="6"/>
      <c r="B70" s="6"/>
      <c r="C70" s="6"/>
      <c r="D70" s="111" t="s">
        <v>11</v>
      </c>
      <c r="E70" s="112" t="s">
        <v>90</v>
      </c>
      <c r="F70" s="112"/>
      <c r="G70" s="113">
        <v>255941.6</v>
      </c>
      <c r="H70" s="113">
        <v>48628.9</v>
      </c>
      <c r="I70" s="113">
        <f>G70+H70</f>
        <v>304570.5</v>
      </c>
      <c r="J70" s="114"/>
      <c r="K70" s="67">
        <v>614444.87</v>
      </c>
      <c r="L70" s="67">
        <f>K70*19%</f>
        <v>116744.52529999999</v>
      </c>
      <c r="M70" s="67">
        <f>K70+L70</f>
        <v>731189.39529999997</v>
      </c>
      <c r="N70" s="134">
        <f>614444.87*79%</f>
        <v>485411.4473</v>
      </c>
      <c r="O70" s="26">
        <f>K70-N70</f>
        <v>129033.4227</v>
      </c>
      <c r="P70" s="26"/>
      <c r="Q70" s="33">
        <v>0</v>
      </c>
      <c r="R70" s="62">
        <v>116744.52529999999</v>
      </c>
      <c r="S70" s="63">
        <f>K70-Q70</f>
        <v>614444.87</v>
      </c>
      <c r="T70" s="72">
        <f>614444.87*79%</f>
        <v>485411.4473</v>
      </c>
      <c r="U70" s="32">
        <v>129033.4227</v>
      </c>
      <c r="V70" s="22"/>
    </row>
    <row r="71" spans="1:24" ht="18.75" x14ac:dyDescent="0.3">
      <c r="A71" s="6"/>
      <c r="B71" s="6"/>
      <c r="C71" s="6"/>
      <c r="D71" s="103" t="s">
        <v>10</v>
      </c>
      <c r="E71" s="158" t="s">
        <v>9</v>
      </c>
      <c r="F71" s="158"/>
      <c r="G71" s="115"/>
      <c r="H71" s="115"/>
      <c r="I71" s="115"/>
      <c r="J71" s="115"/>
      <c r="K71" s="54">
        <f>+ROUND(M71/1.19,2)</f>
        <v>0</v>
      </c>
      <c r="L71" s="54">
        <f>+M71-K71</f>
        <v>0</v>
      </c>
      <c r="M71" s="54">
        <v>0</v>
      </c>
      <c r="N71" s="129"/>
      <c r="O71" s="26"/>
      <c r="P71" s="26"/>
      <c r="Q71" s="33"/>
      <c r="R71" s="33"/>
      <c r="S71" s="31"/>
      <c r="T71" s="21"/>
      <c r="U71" s="32"/>
    </row>
    <row r="72" spans="1:24" ht="18" x14ac:dyDescent="0.25">
      <c r="A72" s="6"/>
      <c r="B72" s="6"/>
      <c r="C72" s="6"/>
      <c r="D72" s="154" t="s">
        <v>8</v>
      </c>
      <c r="E72" s="149"/>
      <c r="F72" s="149"/>
      <c r="G72" s="106">
        <f>G70+G64+G61</f>
        <v>362367.82</v>
      </c>
      <c r="H72" s="106">
        <f>H70+H64+H61</f>
        <v>68849.881800000003</v>
      </c>
      <c r="I72" s="106">
        <f>I70+I64+I61</f>
        <v>431217.70179999998</v>
      </c>
      <c r="J72" s="43"/>
      <c r="K72" s="54">
        <f>K71+K70+K64+K61</f>
        <v>720871.09000000008</v>
      </c>
      <c r="L72" s="54">
        <f>L71+L70+L64+L61</f>
        <v>136965.50709999999</v>
      </c>
      <c r="M72" s="54">
        <f>M71+M70+M64+M61</f>
        <v>857836.5970999999</v>
      </c>
      <c r="N72" s="130">
        <f>N70+N64+N61</f>
        <v>569488.16110000003</v>
      </c>
      <c r="O72" s="26">
        <f>O70+O64+O61</f>
        <v>151382.9289</v>
      </c>
      <c r="P72" s="26">
        <f>P64+P61</f>
        <v>3581.6710000000003</v>
      </c>
      <c r="Q72" s="62">
        <f>Q70+Q64+Q61</f>
        <v>18850.900000000001</v>
      </c>
      <c r="R72" s="62">
        <f>R70+R64+R61</f>
        <v>133383.83609999999</v>
      </c>
      <c r="S72" s="63">
        <f>K72-Q72</f>
        <v>702020.19000000006</v>
      </c>
      <c r="T72" s="66">
        <f>T70+T64+T61</f>
        <v>501097.65157275257</v>
      </c>
      <c r="U72" s="32">
        <f>U70+U64+U61</f>
        <v>200922.5384272474</v>
      </c>
      <c r="V72" s="22"/>
    </row>
    <row r="73" spans="1:24" ht="18" x14ac:dyDescent="0.25">
      <c r="A73" s="6"/>
      <c r="B73" s="6"/>
      <c r="C73" s="6"/>
      <c r="D73" s="146" t="s">
        <v>7</v>
      </c>
      <c r="E73" s="147"/>
      <c r="F73" s="147"/>
      <c r="G73" s="147"/>
      <c r="H73" s="147"/>
      <c r="I73" s="147"/>
      <c r="J73" s="147"/>
      <c r="K73" s="147"/>
      <c r="L73" s="147"/>
      <c r="M73" s="148"/>
      <c r="N73" s="129"/>
      <c r="O73" s="26"/>
      <c r="P73" s="26"/>
      <c r="Q73" s="33"/>
      <c r="R73" s="33"/>
      <c r="S73" s="31"/>
      <c r="T73" s="21"/>
      <c r="U73" s="32"/>
    </row>
    <row r="74" spans="1:24" ht="18" x14ac:dyDescent="0.25">
      <c r="A74" s="6"/>
      <c r="B74" s="6"/>
      <c r="C74" s="6"/>
      <c r="D74" s="146" t="s">
        <v>6</v>
      </c>
      <c r="E74" s="147"/>
      <c r="F74" s="147"/>
      <c r="G74" s="147"/>
      <c r="H74" s="147"/>
      <c r="I74" s="147"/>
      <c r="J74" s="147"/>
      <c r="K74" s="147"/>
      <c r="L74" s="147"/>
      <c r="M74" s="148"/>
      <c r="N74" s="129"/>
      <c r="O74" s="26"/>
      <c r="P74" s="26"/>
      <c r="Q74" s="33"/>
      <c r="R74" s="30"/>
      <c r="S74" s="31"/>
      <c r="T74" s="21"/>
      <c r="U74" s="32"/>
    </row>
    <row r="75" spans="1:24" ht="18" x14ac:dyDescent="0.25">
      <c r="A75" s="6"/>
      <c r="B75" s="6"/>
      <c r="C75" s="6"/>
      <c r="D75" s="85" t="s">
        <v>5</v>
      </c>
      <c r="E75" s="147" t="s">
        <v>4</v>
      </c>
      <c r="F75" s="147"/>
      <c r="G75" s="42"/>
      <c r="H75" s="42"/>
      <c r="I75" s="42"/>
      <c r="J75" s="42"/>
      <c r="K75" s="54">
        <f>+ROUND(M75/1.19,2)</f>
        <v>0</v>
      </c>
      <c r="L75" s="54">
        <f>+M75-K75</f>
        <v>0</v>
      </c>
      <c r="M75" s="54">
        <v>0</v>
      </c>
      <c r="N75" s="129"/>
      <c r="O75" s="26"/>
      <c r="P75" s="26"/>
      <c r="Q75" s="30"/>
      <c r="R75" s="33"/>
      <c r="S75" s="31"/>
      <c r="T75" s="21"/>
      <c r="U75" s="32"/>
    </row>
    <row r="76" spans="1:24" ht="18" x14ac:dyDescent="0.25">
      <c r="A76" s="6"/>
      <c r="B76" s="6"/>
      <c r="C76" s="6"/>
      <c r="D76" s="85" t="s">
        <v>3</v>
      </c>
      <c r="E76" s="147" t="s">
        <v>2</v>
      </c>
      <c r="F76" s="147"/>
      <c r="G76" s="42"/>
      <c r="H76" s="42"/>
      <c r="I76" s="42"/>
      <c r="J76" s="42"/>
      <c r="K76" s="54">
        <f>+ROUND(M76/1.19,2)</f>
        <v>0</v>
      </c>
      <c r="L76" s="54">
        <f>+M76-K76</f>
        <v>0</v>
      </c>
      <c r="M76" s="54">
        <v>0</v>
      </c>
      <c r="N76" s="129"/>
      <c r="O76" s="26"/>
      <c r="P76" s="26"/>
      <c r="Q76" s="33"/>
      <c r="R76" s="33"/>
      <c r="S76" s="34"/>
      <c r="T76" s="35"/>
      <c r="U76" s="32"/>
      <c r="V76" s="22">
        <f>U78+T78</f>
        <v>6763008.8499999996</v>
      </c>
    </row>
    <row r="77" spans="1:24" ht="18" x14ac:dyDescent="0.25">
      <c r="A77" s="6"/>
      <c r="B77" s="6"/>
      <c r="C77" s="6"/>
      <c r="D77" s="154" t="s">
        <v>1</v>
      </c>
      <c r="E77" s="149"/>
      <c r="F77" s="149"/>
      <c r="G77" s="43"/>
      <c r="H77" s="43"/>
      <c r="I77" s="43"/>
      <c r="J77" s="43"/>
      <c r="K77" s="64">
        <f>K75+K76</f>
        <v>0</v>
      </c>
      <c r="L77" s="64">
        <f>L75+L76</f>
        <v>0</v>
      </c>
      <c r="M77" s="64">
        <f>M75+M76</f>
        <v>0</v>
      </c>
      <c r="N77" s="129"/>
      <c r="O77" s="26"/>
      <c r="P77" s="26"/>
      <c r="Q77" s="33"/>
      <c r="R77" s="33"/>
      <c r="S77" s="31"/>
      <c r="T77" s="21"/>
      <c r="U77" s="32"/>
      <c r="X77">
        <f>T78/S78</f>
        <v>0.62248361923594886</v>
      </c>
    </row>
    <row r="78" spans="1:24" ht="18" x14ac:dyDescent="0.25">
      <c r="A78" s="6"/>
      <c r="B78" s="6"/>
      <c r="C78" s="6"/>
      <c r="D78" s="155" t="s">
        <v>0</v>
      </c>
      <c r="E78" s="156"/>
      <c r="F78" s="156"/>
      <c r="G78" s="106">
        <f>G72+G57+G47+G16+G20-2.99</f>
        <v>9644052.6400000006</v>
      </c>
      <c r="H78" s="106">
        <f>H72+H57+H47+H20+H16-3.99</f>
        <v>1835431.8149999999</v>
      </c>
      <c r="I78" s="106">
        <f>G78+H78</f>
        <v>11479484.455</v>
      </c>
      <c r="J78" s="116"/>
      <c r="K78" s="117">
        <f>K16+K20+K47+K57+K61+K64+K70+K71</f>
        <v>10692434.949999999</v>
      </c>
      <c r="L78" s="117">
        <f>L77+L72+L57+L47+L20+L16</f>
        <v>2034631.1224999998</v>
      </c>
      <c r="M78" s="117">
        <f>K78+L78</f>
        <v>12727066.0725</v>
      </c>
      <c r="N78" s="135">
        <f>N70+N64+N61+N57+N20</f>
        <v>7877368.9454000005</v>
      </c>
      <c r="O78" s="74">
        <f>O70+O64+O61+O57+O42+O31+O29+O28+O24+O14</f>
        <v>2815059.0045999996</v>
      </c>
      <c r="P78" s="74">
        <f>P64+P61+P57+P42+P31+P29+P28+P24+P20+P16</f>
        <v>749634.77100000007</v>
      </c>
      <c r="Q78" s="62">
        <f>Q70+Q64+Q61+Q57+Q42+Q31+Q29+Q28+Q24+Q20+Q16</f>
        <v>3929426.0999999992</v>
      </c>
      <c r="R78" s="62">
        <f>R70+R64+R61+R57+R42+R28+R20+R24+R16</f>
        <v>1284988.3515000001</v>
      </c>
      <c r="S78" s="63">
        <f>K78-Q78</f>
        <v>6763008.8499999996</v>
      </c>
      <c r="T78" s="73">
        <f>T70+T64+T61+T57+T20+7</f>
        <v>4209862.2258727523</v>
      </c>
      <c r="U78" s="75">
        <f>U72+U57+U47+U16</f>
        <v>2553146.6241272474</v>
      </c>
      <c r="V78" s="22">
        <f>U78+T78</f>
        <v>6763008.8499999996</v>
      </c>
    </row>
    <row r="79" spans="1:24" ht="18" x14ac:dyDescent="0.25">
      <c r="A79" s="6"/>
      <c r="B79" s="6"/>
      <c r="C79" s="6"/>
      <c r="D79" s="118"/>
      <c r="E79" s="116"/>
      <c r="F79" s="116"/>
      <c r="G79" s="116"/>
      <c r="H79" s="116"/>
      <c r="I79" s="116"/>
      <c r="J79" s="116"/>
      <c r="K79" s="117"/>
      <c r="L79" s="117"/>
      <c r="M79" s="117"/>
      <c r="N79" s="130">
        <f>N78*19%</f>
        <v>1496700.099626</v>
      </c>
      <c r="O79" s="26">
        <f>L78-N79</f>
        <v>537931.02287399978</v>
      </c>
      <c r="P79" s="26"/>
      <c r="Q79" s="62">
        <f>L78*S83</f>
        <v>747718.61358144577</v>
      </c>
      <c r="R79" s="33"/>
      <c r="S79" s="63">
        <f>L78-Q79</f>
        <v>1286912.5089185541</v>
      </c>
      <c r="T79" s="66">
        <f>T78*19%</f>
        <v>799873.82291582297</v>
      </c>
      <c r="U79" s="32">
        <f>S79-T79</f>
        <v>487038.68600273109</v>
      </c>
      <c r="V79" s="22">
        <f>U79+T79</f>
        <v>1286912.5089185541</v>
      </c>
    </row>
    <row r="80" spans="1:24" ht="18.75" thickBot="1" x14ac:dyDescent="0.3">
      <c r="A80" s="6"/>
      <c r="B80" s="6"/>
      <c r="C80" s="6"/>
      <c r="D80" s="119"/>
      <c r="E80" s="120"/>
      <c r="F80" s="120"/>
      <c r="G80" s="120"/>
      <c r="H80" s="120"/>
      <c r="I80" s="120"/>
      <c r="J80" s="125">
        <f>M78-I78</f>
        <v>1247581.6174999997</v>
      </c>
      <c r="K80" s="122"/>
      <c r="L80" s="122"/>
      <c r="M80" s="122"/>
      <c r="N80" s="136">
        <f>N78+N79</f>
        <v>9374069.0450260006</v>
      </c>
      <c r="O80" s="91">
        <f>M78-N80</f>
        <v>3352997.0274739992</v>
      </c>
      <c r="P80" s="91"/>
      <c r="Q80" s="92">
        <f>Q78+Q79</f>
        <v>4677144.7135814447</v>
      </c>
      <c r="R80" s="93"/>
      <c r="S80" s="94">
        <f>S78+S79</f>
        <v>8049921.3589185532</v>
      </c>
      <c r="T80" s="76">
        <f>T78+T79</f>
        <v>5009736.0487885755</v>
      </c>
      <c r="U80" s="77">
        <f>U78+U79</f>
        <v>3040185.3101299787</v>
      </c>
      <c r="V80" s="22">
        <f>U80+T80</f>
        <v>8049921.3589185541</v>
      </c>
    </row>
    <row r="81" spans="1:21" ht="19.5" thickBot="1" x14ac:dyDescent="0.35">
      <c r="A81" s="6"/>
      <c r="B81" s="6"/>
      <c r="C81" s="6"/>
      <c r="D81" s="8"/>
      <c r="E81" s="157" t="s">
        <v>114</v>
      </c>
      <c r="F81" s="157"/>
      <c r="G81" s="121"/>
      <c r="H81" s="121"/>
      <c r="I81" s="121"/>
      <c r="J81" s="123" t="s">
        <v>114</v>
      </c>
      <c r="K81" s="124">
        <v>9087910.8699999992</v>
      </c>
      <c r="L81" s="124">
        <v>1726703.07</v>
      </c>
      <c r="M81" s="141" t="s">
        <v>115</v>
      </c>
      <c r="N81" s="18"/>
      <c r="O81" s="16"/>
      <c r="P81" s="5"/>
      <c r="Q81" s="5"/>
      <c r="T81"/>
      <c r="U81"/>
    </row>
    <row r="82" spans="1:21" ht="18.75" x14ac:dyDescent="0.3">
      <c r="A82" s="6"/>
      <c r="B82" s="6"/>
      <c r="C82" s="6"/>
      <c r="D82" s="10"/>
      <c r="E82" s="11"/>
      <c r="F82" s="11"/>
      <c r="G82" s="11"/>
      <c r="H82" s="11"/>
      <c r="I82" s="11"/>
      <c r="J82" s="11"/>
      <c r="K82" s="9"/>
      <c r="L82" s="9"/>
      <c r="M82" s="142"/>
      <c r="N82" s="17"/>
      <c r="O82" s="18"/>
      <c r="P82" s="18"/>
      <c r="Q82" s="12"/>
      <c r="R82" s="12"/>
      <c r="S82" s="13"/>
    </row>
    <row r="83" spans="1:21" ht="18.75" hidden="1" x14ac:dyDescent="0.3">
      <c r="A83" s="6"/>
      <c r="B83" s="6"/>
      <c r="C83" s="6"/>
      <c r="D83" s="10"/>
      <c r="E83" s="11"/>
      <c r="F83" s="11" t="s">
        <v>91</v>
      </c>
      <c r="G83" s="11"/>
      <c r="H83" s="11"/>
      <c r="I83" s="11"/>
      <c r="J83" s="11"/>
      <c r="K83" s="11"/>
      <c r="L83" s="9"/>
      <c r="M83" s="142"/>
      <c r="N83" s="17"/>
      <c r="O83" s="17"/>
      <c r="P83" s="17"/>
      <c r="Q83" s="5"/>
      <c r="R83" s="13">
        <f>S80+Q80</f>
        <v>12727066.072499998</v>
      </c>
      <c r="S83" s="38">
        <f>Q78/K78</f>
        <v>0.36749590887153344</v>
      </c>
    </row>
    <row r="84" spans="1:21" ht="18.75" x14ac:dyDescent="0.3">
      <c r="A84" s="6"/>
      <c r="B84" s="6"/>
      <c r="C84" s="6"/>
      <c r="D84" s="10"/>
      <c r="E84" s="11"/>
      <c r="F84" s="11"/>
      <c r="G84" s="11" t="s">
        <v>113</v>
      </c>
      <c r="H84" s="11"/>
      <c r="I84" s="11"/>
      <c r="J84" s="11"/>
      <c r="K84" s="11"/>
      <c r="L84" s="9"/>
      <c r="M84" s="142"/>
      <c r="N84" s="17"/>
      <c r="O84" s="17"/>
      <c r="P84" s="17"/>
      <c r="Q84" s="5"/>
      <c r="R84" s="5"/>
      <c r="S84" s="13"/>
    </row>
    <row r="85" spans="1:21" ht="18.75" x14ac:dyDescent="0.3">
      <c r="A85" s="6"/>
      <c r="B85" s="6"/>
      <c r="C85" s="6"/>
      <c r="D85" s="10"/>
      <c r="E85" s="11"/>
      <c r="F85" s="9"/>
      <c r="G85" s="11" t="s">
        <v>112</v>
      </c>
      <c r="H85" s="9"/>
      <c r="I85" s="9"/>
      <c r="J85" s="9"/>
      <c r="K85" s="11"/>
      <c r="L85" s="9"/>
      <c r="M85" s="142"/>
      <c r="N85" s="17"/>
      <c r="O85" s="17"/>
      <c r="P85" s="17"/>
      <c r="Q85" s="5"/>
      <c r="R85" s="5"/>
      <c r="S85" s="13"/>
    </row>
    <row r="86" spans="1:21" ht="18.75" x14ac:dyDescent="0.3">
      <c r="A86" s="6"/>
      <c r="B86" s="6"/>
      <c r="C86" s="6"/>
      <c r="D86" s="14"/>
      <c r="E86" s="11"/>
      <c r="F86" s="9"/>
      <c r="G86" s="9"/>
      <c r="H86" s="9"/>
      <c r="I86" s="9"/>
      <c r="J86" s="9"/>
      <c r="K86" s="9"/>
      <c r="L86" s="9"/>
      <c r="M86" s="142"/>
      <c r="N86" s="17"/>
      <c r="O86" s="17"/>
      <c r="P86" s="17"/>
      <c r="Q86" s="4"/>
      <c r="R86" s="4"/>
      <c r="S86" s="5"/>
    </row>
    <row r="87" spans="1:21" ht="18" x14ac:dyDescent="0.25">
      <c r="A87" s="6"/>
      <c r="B87" s="6"/>
      <c r="C87" s="6"/>
      <c r="D87" s="15" t="s">
        <v>86</v>
      </c>
      <c r="E87" s="11"/>
      <c r="F87" s="9"/>
      <c r="G87" s="9"/>
      <c r="H87" s="9"/>
      <c r="I87" s="9"/>
      <c r="J87" s="9"/>
      <c r="K87" s="11" t="s">
        <v>116</v>
      </c>
      <c r="L87" s="11"/>
      <c r="M87" s="143"/>
      <c r="N87" s="18"/>
      <c r="O87" s="18"/>
      <c r="P87" s="18"/>
      <c r="Q87" s="16"/>
      <c r="R87" s="16"/>
      <c r="S87" s="11"/>
      <c r="T87" s="11" t="s">
        <v>111</v>
      </c>
    </row>
    <row r="88" spans="1:21" ht="18.75" x14ac:dyDescent="0.3">
      <c r="A88" s="6"/>
      <c r="B88" s="6"/>
      <c r="C88" s="6"/>
      <c r="D88" s="15" t="s">
        <v>87</v>
      </c>
      <c r="E88" s="11"/>
      <c r="F88" s="9"/>
      <c r="G88" s="9"/>
      <c r="H88" s="9"/>
      <c r="I88" s="9"/>
      <c r="J88" s="9"/>
      <c r="K88" s="16" t="s">
        <v>88</v>
      </c>
      <c r="L88" s="11"/>
      <c r="M88" s="144"/>
      <c r="N88" s="18"/>
      <c r="O88" s="18"/>
      <c r="P88" s="18"/>
      <c r="Q88" s="150"/>
      <c r="R88" s="150"/>
      <c r="S88" s="150"/>
      <c r="T88" s="78" t="s">
        <v>96</v>
      </c>
    </row>
    <row r="89" spans="1:21" ht="18.75" x14ac:dyDescent="0.3">
      <c r="A89" s="6"/>
      <c r="B89" s="6"/>
      <c r="C89" s="6"/>
      <c r="D89" s="14"/>
      <c r="E89" s="9"/>
      <c r="F89" s="9"/>
      <c r="G89" s="9"/>
      <c r="H89" s="9"/>
      <c r="I89" s="9"/>
      <c r="J89" s="9"/>
      <c r="K89" s="150" t="s">
        <v>89</v>
      </c>
      <c r="L89" s="150"/>
      <c r="M89" s="144"/>
      <c r="N89" s="17"/>
      <c r="O89" s="17"/>
      <c r="P89" s="17"/>
      <c r="Q89" s="4"/>
      <c r="R89" s="4"/>
      <c r="S89" s="5"/>
    </row>
    <row r="90" spans="1:21" ht="18.75" x14ac:dyDescent="0.3">
      <c r="A90" s="6"/>
      <c r="B90" s="6"/>
      <c r="C90" s="6"/>
      <c r="D90" s="14"/>
      <c r="E90" s="9"/>
      <c r="F90" s="9"/>
      <c r="G90" s="9"/>
      <c r="H90" s="9"/>
      <c r="I90" s="9"/>
      <c r="J90" s="9"/>
      <c r="K90" s="9"/>
      <c r="L90" s="9"/>
      <c r="M90" s="142"/>
      <c r="N90" s="9"/>
      <c r="O90" s="9"/>
      <c r="P90" s="9"/>
      <c r="Q90" s="4"/>
      <c r="R90" s="4"/>
      <c r="S90" s="5"/>
    </row>
    <row r="91" spans="1:21" x14ac:dyDescent="0.2">
      <c r="T91"/>
      <c r="U91"/>
    </row>
    <row r="92" spans="1:21" x14ac:dyDescent="0.2">
      <c r="T92"/>
      <c r="U92"/>
    </row>
    <row r="93" spans="1:21" x14ac:dyDescent="0.2">
      <c r="T93"/>
      <c r="U93"/>
    </row>
    <row r="94" spans="1:21" x14ac:dyDescent="0.2">
      <c r="T94"/>
      <c r="U94"/>
    </row>
    <row r="95" spans="1:21" x14ac:dyDescent="0.2">
      <c r="T95"/>
      <c r="U95"/>
    </row>
    <row r="96" spans="1:21" x14ac:dyDescent="0.2">
      <c r="T96"/>
      <c r="U96"/>
    </row>
    <row r="97" spans="20:21" x14ac:dyDescent="0.2">
      <c r="T97"/>
      <c r="U97"/>
    </row>
    <row r="98" spans="20:21" x14ac:dyDescent="0.2">
      <c r="T98"/>
      <c r="U98"/>
    </row>
    <row r="99" spans="20:21" x14ac:dyDescent="0.2">
      <c r="T99"/>
      <c r="U99"/>
    </row>
    <row r="100" spans="20:21" x14ac:dyDescent="0.2">
      <c r="T100"/>
      <c r="U100"/>
    </row>
    <row r="101" spans="20:21" x14ac:dyDescent="0.2">
      <c r="T101"/>
      <c r="U101"/>
    </row>
    <row r="102" spans="20:21" x14ac:dyDescent="0.2">
      <c r="T102"/>
      <c r="U102"/>
    </row>
    <row r="103" spans="20:21" x14ac:dyDescent="0.2">
      <c r="T103"/>
      <c r="U103"/>
    </row>
    <row r="104" spans="20:21" x14ac:dyDescent="0.2">
      <c r="T104"/>
      <c r="U104"/>
    </row>
    <row r="105" spans="20:21" x14ac:dyDescent="0.2">
      <c r="T105"/>
      <c r="U105"/>
    </row>
    <row r="106" spans="20:21" x14ac:dyDescent="0.2">
      <c r="T106"/>
      <c r="U106"/>
    </row>
    <row r="107" spans="20:21" x14ac:dyDescent="0.2">
      <c r="T107"/>
      <c r="U107"/>
    </row>
    <row r="108" spans="20:21" x14ac:dyDescent="0.2">
      <c r="T108"/>
      <c r="U108"/>
    </row>
    <row r="109" spans="20:21" x14ac:dyDescent="0.2">
      <c r="T109"/>
      <c r="U109"/>
    </row>
    <row r="110" spans="20:21" x14ac:dyDescent="0.2">
      <c r="T110"/>
      <c r="U110"/>
    </row>
    <row r="111" spans="20:21" x14ac:dyDescent="0.2">
      <c r="T111"/>
      <c r="U111"/>
    </row>
    <row r="112" spans="20:21" x14ac:dyDescent="0.2">
      <c r="T112"/>
      <c r="U112"/>
    </row>
    <row r="113" spans="20:21" x14ac:dyDescent="0.2">
      <c r="T113"/>
      <c r="U113"/>
    </row>
    <row r="114" spans="20:21" x14ac:dyDescent="0.2">
      <c r="T114"/>
      <c r="U114"/>
    </row>
    <row r="115" spans="20:21" x14ac:dyDescent="0.2">
      <c r="T115"/>
      <c r="U115"/>
    </row>
    <row r="116" spans="20:21" x14ac:dyDescent="0.2">
      <c r="T116"/>
      <c r="U116"/>
    </row>
    <row r="117" spans="20:21" x14ac:dyDescent="0.2">
      <c r="T117"/>
      <c r="U117"/>
    </row>
    <row r="118" spans="20:21" x14ac:dyDescent="0.2">
      <c r="T118"/>
      <c r="U118"/>
    </row>
    <row r="119" spans="20:21" x14ac:dyDescent="0.2">
      <c r="T119"/>
      <c r="U119"/>
    </row>
    <row r="120" spans="20:21" x14ac:dyDescent="0.2">
      <c r="T120"/>
      <c r="U120"/>
    </row>
    <row r="121" spans="20:21" x14ac:dyDescent="0.2">
      <c r="T121"/>
      <c r="U121"/>
    </row>
    <row r="122" spans="20:21" x14ac:dyDescent="0.2">
      <c r="T122"/>
      <c r="U122"/>
    </row>
    <row r="123" spans="20:21" x14ac:dyDescent="0.2">
      <c r="T123"/>
      <c r="U123"/>
    </row>
    <row r="124" spans="20:21" x14ac:dyDescent="0.2">
      <c r="T124"/>
      <c r="U124"/>
    </row>
    <row r="125" spans="20:21" x14ac:dyDescent="0.2">
      <c r="T125"/>
      <c r="U125"/>
    </row>
    <row r="126" spans="20:21" x14ac:dyDescent="0.2">
      <c r="T126"/>
      <c r="U126"/>
    </row>
    <row r="127" spans="20:21" x14ac:dyDescent="0.2">
      <c r="T127"/>
      <c r="U127"/>
    </row>
    <row r="128" spans="20:21" x14ac:dyDescent="0.2">
      <c r="T128"/>
      <c r="U128"/>
    </row>
    <row r="129" spans="20:21" x14ac:dyDescent="0.2">
      <c r="T129"/>
      <c r="U129"/>
    </row>
    <row r="130" spans="20:21" x14ac:dyDescent="0.2">
      <c r="T130"/>
      <c r="U130"/>
    </row>
    <row r="131" spans="20:21" x14ac:dyDescent="0.2">
      <c r="T131"/>
      <c r="U131"/>
    </row>
    <row r="132" spans="20:21" x14ac:dyDescent="0.2">
      <c r="T132"/>
      <c r="U132"/>
    </row>
    <row r="133" spans="20:21" x14ac:dyDescent="0.2">
      <c r="T133"/>
      <c r="U133"/>
    </row>
    <row r="134" spans="20:21" x14ac:dyDescent="0.2">
      <c r="T134"/>
      <c r="U134"/>
    </row>
    <row r="135" spans="20:21" x14ac:dyDescent="0.2">
      <c r="T135"/>
      <c r="U135"/>
    </row>
    <row r="136" spans="20:21" x14ac:dyDescent="0.2">
      <c r="T136"/>
      <c r="U136"/>
    </row>
    <row r="137" spans="20:21" x14ac:dyDescent="0.2">
      <c r="T137"/>
      <c r="U137"/>
    </row>
    <row r="138" spans="20:21" x14ac:dyDescent="0.2">
      <c r="T138"/>
      <c r="U138"/>
    </row>
    <row r="139" spans="20:21" x14ac:dyDescent="0.2">
      <c r="T139"/>
      <c r="U139"/>
    </row>
    <row r="140" spans="20:21" x14ac:dyDescent="0.2">
      <c r="T140"/>
      <c r="U140"/>
    </row>
    <row r="141" spans="20:21" x14ac:dyDescent="0.2">
      <c r="T141"/>
      <c r="U141"/>
    </row>
    <row r="142" spans="20:21" x14ac:dyDescent="0.2">
      <c r="T142"/>
      <c r="U142"/>
    </row>
    <row r="143" spans="20:21" x14ac:dyDescent="0.2">
      <c r="T143"/>
      <c r="U143"/>
    </row>
    <row r="144" spans="20:21" x14ac:dyDescent="0.2">
      <c r="T144"/>
      <c r="U144"/>
    </row>
    <row r="145" spans="20:21" x14ac:dyDescent="0.2">
      <c r="T145"/>
      <c r="U145"/>
    </row>
    <row r="146" spans="20:21" x14ac:dyDescent="0.2">
      <c r="T146"/>
      <c r="U146"/>
    </row>
    <row r="147" spans="20:21" x14ac:dyDescent="0.2">
      <c r="T147"/>
      <c r="U147"/>
    </row>
    <row r="148" spans="20:21" x14ac:dyDescent="0.2">
      <c r="T148"/>
      <c r="U148"/>
    </row>
    <row r="149" spans="20:21" x14ac:dyDescent="0.2">
      <c r="T149"/>
      <c r="U149"/>
    </row>
    <row r="150" spans="20:21" x14ac:dyDescent="0.2">
      <c r="T150"/>
      <c r="U150"/>
    </row>
    <row r="151" spans="20:21" x14ac:dyDescent="0.2">
      <c r="T151"/>
      <c r="U151"/>
    </row>
    <row r="152" spans="20:21" x14ac:dyDescent="0.2">
      <c r="T152"/>
      <c r="U152"/>
    </row>
    <row r="153" spans="20:21" x14ac:dyDescent="0.2">
      <c r="T153"/>
      <c r="U153"/>
    </row>
    <row r="154" spans="20:21" x14ac:dyDescent="0.2">
      <c r="T154"/>
      <c r="U154"/>
    </row>
    <row r="155" spans="20:21" x14ac:dyDescent="0.2">
      <c r="T155"/>
      <c r="U155"/>
    </row>
    <row r="156" spans="20:21" x14ac:dyDescent="0.2">
      <c r="T156"/>
      <c r="U156"/>
    </row>
    <row r="157" spans="20:21" x14ac:dyDescent="0.2">
      <c r="T157"/>
      <c r="U157"/>
    </row>
    <row r="158" spans="20:21" x14ac:dyDescent="0.2">
      <c r="T158"/>
      <c r="U158"/>
    </row>
    <row r="159" spans="20:21" x14ac:dyDescent="0.2">
      <c r="T159"/>
      <c r="U159"/>
    </row>
    <row r="160" spans="20:21" x14ac:dyDescent="0.2">
      <c r="T160"/>
      <c r="U160"/>
    </row>
    <row r="161" spans="20:21" x14ac:dyDescent="0.2">
      <c r="T161"/>
      <c r="U161"/>
    </row>
    <row r="162" spans="20:21" x14ac:dyDescent="0.2">
      <c r="T162"/>
      <c r="U162"/>
    </row>
    <row r="163" spans="20:21" x14ac:dyDescent="0.2">
      <c r="T163"/>
      <c r="U163"/>
    </row>
    <row r="164" spans="20:21" x14ac:dyDescent="0.2">
      <c r="T164"/>
      <c r="U164"/>
    </row>
    <row r="165" spans="20:21" x14ac:dyDescent="0.2">
      <c r="T165"/>
      <c r="U165"/>
    </row>
    <row r="166" spans="20:21" x14ac:dyDescent="0.2">
      <c r="T166"/>
      <c r="U166"/>
    </row>
  </sheetData>
  <mergeCells count="77">
    <mergeCell ref="S9:U10"/>
    <mergeCell ref="N9:O9"/>
    <mergeCell ref="K9:K10"/>
    <mergeCell ref="L9:L10"/>
    <mergeCell ref="M9:M10"/>
    <mergeCell ref="D19:M19"/>
    <mergeCell ref="D20:F20"/>
    <mergeCell ref="D22:M22"/>
    <mergeCell ref="D23:M23"/>
    <mergeCell ref="E24:F24"/>
    <mergeCell ref="E13:F13"/>
    <mergeCell ref="E14:F14"/>
    <mergeCell ref="E15:F15"/>
    <mergeCell ref="D16:F16"/>
    <mergeCell ref="D18:M18"/>
    <mergeCell ref="D9:D11"/>
    <mergeCell ref="E9:F11"/>
    <mergeCell ref="E37:F37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25:F25"/>
    <mergeCell ref="E12:F12"/>
    <mergeCell ref="E66:F66"/>
    <mergeCell ref="D50:M50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D47:F47"/>
    <mergeCell ref="D49:M49"/>
    <mergeCell ref="D57:F57"/>
    <mergeCell ref="Q88:S88"/>
    <mergeCell ref="K89:L89"/>
    <mergeCell ref="A3:K3"/>
    <mergeCell ref="A5:S5"/>
    <mergeCell ref="A6:S6"/>
    <mergeCell ref="A7:K7"/>
    <mergeCell ref="E76:F76"/>
    <mergeCell ref="D77:F77"/>
    <mergeCell ref="D78:F78"/>
    <mergeCell ref="E81:F81"/>
    <mergeCell ref="E71:F71"/>
    <mergeCell ref="D72:F72"/>
    <mergeCell ref="D73:M73"/>
    <mergeCell ref="E69:F69"/>
    <mergeCell ref="E63:F63"/>
    <mergeCell ref="E51:F51"/>
    <mergeCell ref="M2:M4"/>
    <mergeCell ref="D74:M74"/>
    <mergeCell ref="E75:F75"/>
    <mergeCell ref="E67:F67"/>
    <mergeCell ref="E68:F68"/>
    <mergeCell ref="D59:M59"/>
    <mergeCell ref="D60:M60"/>
    <mergeCell ref="E61:F61"/>
    <mergeCell ref="E62:F62"/>
    <mergeCell ref="E52:F52"/>
    <mergeCell ref="E53:F53"/>
    <mergeCell ref="E54:F54"/>
    <mergeCell ref="E55:F55"/>
    <mergeCell ref="E56:F56"/>
    <mergeCell ref="E64:F64"/>
    <mergeCell ref="E65:F65"/>
  </mergeCells>
  <pageMargins left="0.25" right="0.25" top="0.75" bottom="0.75" header="0.3" footer="0.3"/>
  <pageSetup paperSize="9" scale="4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DEVIZ GENERAL MODIFICAT CU AJUS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Raileanu</dc:creator>
  <cp:lastModifiedBy>Ciocanea.Marinel</cp:lastModifiedBy>
  <cp:lastPrinted>2021-10-15T05:17:02Z</cp:lastPrinted>
  <dcterms:created xsi:type="dcterms:W3CDTF">2018-02-28T11:31:22Z</dcterms:created>
  <dcterms:modified xsi:type="dcterms:W3CDTF">2021-10-20T05:55:41Z</dcterms:modified>
</cp:coreProperties>
</file>